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057EFF8-8C44-48A9-8E2C-61966F7D51A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ctuals" sheetId="1" r:id="rId1"/>
    <sheet name="Inputs" sheetId="2" r:id="rId2"/>
    <sheet name="IS" sheetId="3" r:id="rId3"/>
    <sheet name="BS" sheetId="4" r:id="rId4"/>
    <sheet name="CF" sheetId="5" r:id="rId5"/>
    <sheet name="Checks" sheetId="6" r:id="rId6"/>
  </sheets>
  <calcPr calcId="191029"/>
</workbook>
</file>

<file path=xl/calcChain.xml><?xml version="1.0" encoding="utf-8"?>
<calcChain xmlns="http://schemas.openxmlformats.org/spreadsheetml/2006/main">
  <c r="B21" i="5" l="1"/>
  <c r="F15" i="5"/>
  <c r="E15" i="5"/>
  <c r="D15" i="5"/>
  <c r="C15" i="5"/>
  <c r="B15" i="5"/>
  <c r="F10" i="5"/>
  <c r="E10" i="5"/>
  <c r="D10" i="5"/>
  <c r="C10" i="5"/>
  <c r="F9" i="5"/>
  <c r="D9" i="5"/>
  <c r="F8" i="5"/>
  <c r="E8" i="5"/>
  <c r="D8" i="5"/>
  <c r="C8" i="5"/>
  <c r="F7" i="5"/>
  <c r="B5" i="5"/>
  <c r="F30" i="4"/>
  <c r="E30" i="4"/>
  <c r="D30" i="4"/>
  <c r="C30" i="4"/>
  <c r="F27" i="4"/>
  <c r="G24" i="4" s="1"/>
  <c r="F26" i="4"/>
  <c r="E26" i="4"/>
  <c r="D26" i="4"/>
  <c r="C26" i="4"/>
  <c r="B26" i="4"/>
  <c r="F20" i="4"/>
  <c r="E20" i="4"/>
  <c r="D20" i="4"/>
  <c r="C20" i="4"/>
  <c r="B20" i="4"/>
  <c r="F19" i="4"/>
  <c r="E19" i="4"/>
  <c r="D19" i="4"/>
  <c r="C19" i="4"/>
  <c r="B19" i="4"/>
  <c r="F18" i="4"/>
  <c r="E18" i="4"/>
  <c r="D18" i="4"/>
  <c r="C18" i="4"/>
  <c r="B18" i="4"/>
  <c r="F17" i="4"/>
  <c r="F19" i="5" s="1"/>
  <c r="E17" i="4"/>
  <c r="F29" i="4" s="1"/>
  <c r="D17" i="4"/>
  <c r="D19" i="5" s="1"/>
  <c r="C17" i="4"/>
  <c r="C19" i="5" s="1"/>
  <c r="B17" i="4"/>
  <c r="C29" i="4" s="1"/>
  <c r="F16" i="4"/>
  <c r="E16" i="4"/>
  <c r="D16" i="4"/>
  <c r="C16" i="4"/>
  <c r="B16" i="4"/>
  <c r="F15" i="4"/>
  <c r="F18" i="5" s="1"/>
  <c r="E15" i="4"/>
  <c r="E18" i="5" s="1"/>
  <c r="D15" i="4"/>
  <c r="D18" i="5" s="1"/>
  <c r="C15" i="4"/>
  <c r="B15" i="4"/>
  <c r="C18" i="5" s="1"/>
  <c r="F13" i="4"/>
  <c r="E13" i="4"/>
  <c r="E9" i="5" s="1"/>
  <c r="D13" i="4"/>
  <c r="C13" i="4"/>
  <c r="C9" i="5" s="1"/>
  <c r="B13" i="4"/>
  <c r="F10" i="4"/>
  <c r="F4" i="6" s="1"/>
  <c r="E10" i="4"/>
  <c r="E4" i="6" s="1"/>
  <c r="D10" i="4"/>
  <c r="D4" i="6" s="1"/>
  <c r="C10" i="4"/>
  <c r="C4" i="6" s="1"/>
  <c r="B10" i="4"/>
  <c r="B4" i="6" s="1"/>
  <c r="F9" i="4"/>
  <c r="E9" i="4"/>
  <c r="E27" i="4" s="1"/>
  <c r="F24" i="4" s="1"/>
  <c r="F25" i="4" s="1"/>
  <c r="D9" i="4"/>
  <c r="D27" i="4" s="1"/>
  <c r="E24" i="4" s="1"/>
  <c r="C9" i="4"/>
  <c r="C27" i="4" s="1"/>
  <c r="D24" i="4" s="1"/>
  <c r="D25" i="4" s="1"/>
  <c r="B9" i="4"/>
  <c r="B27" i="4" s="1"/>
  <c r="F8" i="4"/>
  <c r="E8" i="4"/>
  <c r="D8" i="4"/>
  <c r="C8" i="4"/>
  <c r="B8" i="4"/>
  <c r="F6" i="4"/>
  <c r="E6" i="4"/>
  <c r="E7" i="5" s="1"/>
  <c r="D6" i="4"/>
  <c r="D7" i="5" s="1"/>
  <c r="C6" i="4"/>
  <c r="C7" i="5" s="1"/>
  <c r="B6" i="4"/>
  <c r="F5" i="4"/>
  <c r="F6" i="5" s="1"/>
  <c r="E5" i="4"/>
  <c r="E6" i="5" s="1"/>
  <c r="D5" i="4"/>
  <c r="D6" i="5" s="1"/>
  <c r="C5" i="4"/>
  <c r="C6" i="5" s="1"/>
  <c r="B5" i="4"/>
  <c r="F4" i="4"/>
  <c r="E4" i="4"/>
  <c r="D4" i="4"/>
  <c r="C4" i="4"/>
  <c r="B4" i="4"/>
  <c r="B25" i="5" s="1"/>
  <c r="D27" i="3"/>
  <c r="F26" i="3"/>
  <c r="F27" i="3" s="1"/>
  <c r="E26" i="3"/>
  <c r="E27" i="3" s="1"/>
  <c r="D26" i="3"/>
  <c r="C26" i="3"/>
  <c r="B26" i="3"/>
  <c r="B27" i="3" s="1"/>
  <c r="B23" i="3"/>
  <c r="B24" i="3" s="1"/>
  <c r="D21" i="3"/>
  <c r="F20" i="3"/>
  <c r="E20" i="3"/>
  <c r="E21" i="3" s="1"/>
  <c r="D20" i="3"/>
  <c r="D5" i="5" s="1"/>
  <c r="C20" i="3"/>
  <c r="C5" i="5" s="1"/>
  <c r="B20" i="3"/>
  <c r="B21" i="3" s="1"/>
  <c r="B17" i="3"/>
  <c r="B18" i="3" s="1"/>
  <c r="F16" i="3"/>
  <c r="E16" i="3"/>
  <c r="D16" i="3"/>
  <c r="D17" i="3" s="1"/>
  <c r="C16" i="3"/>
  <c r="B16" i="3"/>
  <c r="F15" i="3"/>
  <c r="E15" i="3"/>
  <c r="D15" i="3"/>
  <c r="C15" i="3"/>
  <c r="B15" i="3"/>
  <c r="F14" i="3"/>
  <c r="E14" i="3"/>
  <c r="D14" i="3"/>
  <c r="C14" i="3"/>
  <c r="B14" i="3"/>
  <c r="F11" i="3"/>
  <c r="F12" i="3" s="1"/>
  <c r="D11" i="3"/>
  <c r="D12" i="3" s="1"/>
  <c r="F9" i="3"/>
  <c r="F8" i="3"/>
  <c r="E8" i="3"/>
  <c r="E9" i="3" s="1"/>
  <c r="D8" i="3"/>
  <c r="D9" i="3" s="1"/>
  <c r="C8" i="3"/>
  <c r="B8" i="3"/>
  <c r="B9" i="3" s="1"/>
  <c r="F5" i="3"/>
  <c r="F5" i="6" s="1"/>
  <c r="E5" i="3"/>
  <c r="E5" i="6" s="1"/>
  <c r="D5" i="3"/>
  <c r="D5" i="6" s="1"/>
  <c r="C5" i="3"/>
  <c r="B5" i="3"/>
  <c r="B11" i="3" s="1"/>
  <c r="B12" i="3" s="1"/>
  <c r="H21" i="2"/>
  <c r="C21" i="2" s="1"/>
  <c r="B21" i="2"/>
  <c r="H20" i="2"/>
  <c r="I20" i="2" s="1"/>
  <c r="B20" i="2"/>
  <c r="G19" i="2"/>
  <c r="G18" i="2"/>
  <c r="K18" i="2" s="1"/>
  <c r="K17" i="2"/>
  <c r="I17" i="2"/>
  <c r="G17" i="2"/>
  <c r="J17" i="2" s="1"/>
  <c r="G16" i="2"/>
  <c r="I16" i="2" s="1"/>
  <c r="K15" i="2"/>
  <c r="G15" i="2"/>
  <c r="J15" i="2" s="1"/>
  <c r="K14" i="2"/>
  <c r="J14" i="2"/>
  <c r="I14" i="2"/>
  <c r="H14" i="2"/>
  <c r="G14" i="2"/>
  <c r="G13" i="2"/>
  <c r="H13" i="2" s="1"/>
  <c r="H6" i="6" s="1"/>
  <c r="K10" i="2"/>
  <c r="J10" i="2"/>
  <c r="I10" i="2"/>
  <c r="H10" i="2"/>
  <c r="F10" i="2"/>
  <c r="E10" i="2"/>
  <c r="D10" i="2"/>
  <c r="C10" i="2"/>
  <c r="B10" i="2"/>
  <c r="K9" i="2"/>
  <c r="J9" i="2"/>
  <c r="I9" i="2"/>
  <c r="H9" i="2"/>
  <c r="F9" i="2"/>
  <c r="E9" i="2"/>
  <c r="D9" i="2"/>
  <c r="C9" i="2"/>
  <c r="B9" i="2"/>
  <c r="K8" i="2"/>
  <c r="J8" i="2"/>
  <c r="I8" i="2"/>
  <c r="H8" i="2"/>
  <c r="F8" i="2"/>
  <c r="E8" i="2"/>
  <c r="D8" i="2"/>
  <c r="C8" i="2"/>
  <c r="B8" i="2"/>
  <c r="K7" i="2"/>
  <c r="J7" i="2"/>
  <c r="I7" i="2"/>
  <c r="H7" i="2"/>
  <c r="F7" i="2"/>
  <c r="E7" i="2"/>
  <c r="D7" i="2"/>
  <c r="C7" i="2"/>
  <c r="B7" i="2"/>
  <c r="K6" i="2"/>
  <c r="J6" i="2"/>
  <c r="I6" i="2"/>
  <c r="H6" i="2"/>
  <c r="F6" i="2"/>
  <c r="E6" i="2"/>
  <c r="D6" i="2"/>
  <c r="C6" i="2"/>
  <c r="B6" i="2"/>
  <c r="K5" i="2"/>
  <c r="J5" i="2"/>
  <c r="I5" i="2"/>
  <c r="H5" i="2"/>
  <c r="F5" i="2"/>
  <c r="E5" i="2"/>
  <c r="D5" i="2"/>
  <c r="C5" i="2"/>
  <c r="B5" i="2"/>
  <c r="K4" i="2"/>
  <c r="J4" i="2"/>
  <c r="I4" i="2"/>
  <c r="H4" i="2"/>
  <c r="F4" i="2"/>
  <c r="E4" i="2"/>
  <c r="D4" i="2"/>
  <c r="C4" i="2"/>
  <c r="B4" i="2"/>
  <c r="E25" i="4" l="1"/>
  <c r="G26" i="4"/>
  <c r="G20" i="3" s="1"/>
  <c r="F5" i="5"/>
  <c r="F21" i="3"/>
  <c r="B29" i="3"/>
  <c r="D20" i="2"/>
  <c r="J20" i="2"/>
  <c r="J19" i="2"/>
  <c r="H19" i="2"/>
  <c r="I19" i="2"/>
  <c r="K19" i="2"/>
  <c r="D23" i="3"/>
  <c r="D18" i="3"/>
  <c r="C27" i="3"/>
  <c r="C5" i="6"/>
  <c r="C17" i="3"/>
  <c r="C6" i="3"/>
  <c r="C11" i="3"/>
  <c r="C12" i="3" s="1"/>
  <c r="D6" i="3"/>
  <c r="B30" i="3"/>
  <c r="C9" i="3"/>
  <c r="C24" i="4"/>
  <c r="C25" i="4" s="1"/>
  <c r="B24" i="4"/>
  <c r="B25" i="4" s="1"/>
  <c r="E29" i="4"/>
  <c r="I13" i="2"/>
  <c r="I6" i="6" s="1"/>
  <c r="J16" i="2"/>
  <c r="H18" i="2"/>
  <c r="I21" i="2"/>
  <c r="G5" i="3"/>
  <c r="F6" i="3"/>
  <c r="F17" i="3"/>
  <c r="H16" i="2"/>
  <c r="J13" i="2"/>
  <c r="J6" i="6" s="1"/>
  <c r="H15" i="2"/>
  <c r="K16" i="2"/>
  <c r="I18" i="2"/>
  <c r="E5" i="5"/>
  <c r="E19" i="5"/>
  <c r="K13" i="2"/>
  <c r="K6" i="6" s="1"/>
  <c r="I15" i="2"/>
  <c r="J18" i="2"/>
  <c r="C20" i="2"/>
  <c r="H17" i="2"/>
  <c r="C21" i="3"/>
  <c r="D29" i="4"/>
  <c r="E11" i="3"/>
  <c r="E12" i="3" s="1"/>
  <c r="G6" i="6"/>
  <c r="E6" i="3"/>
  <c r="E17" i="3"/>
  <c r="G16" i="3" l="1"/>
  <c r="G5" i="4"/>
  <c r="G6" i="5" s="1"/>
  <c r="G15" i="3"/>
  <c r="G14" i="3"/>
  <c r="G8" i="3"/>
  <c r="G10" i="4"/>
  <c r="G5" i="6"/>
  <c r="G7" i="6" s="1"/>
  <c r="G14" i="4"/>
  <c r="G10" i="5" s="1"/>
  <c r="G6" i="3"/>
  <c r="H5" i="3"/>
  <c r="G7" i="4"/>
  <c r="G8" i="5" s="1"/>
  <c r="J21" i="2"/>
  <c r="D21" i="2"/>
  <c r="D29" i="3"/>
  <c r="D24" i="3"/>
  <c r="B32" i="3"/>
  <c r="B31" i="3"/>
  <c r="G21" i="3"/>
  <c r="G5" i="5"/>
  <c r="E23" i="3"/>
  <c r="E18" i="3"/>
  <c r="F18" i="3"/>
  <c r="F23" i="3"/>
  <c r="C18" i="3"/>
  <c r="C23" i="3"/>
  <c r="K20" i="2"/>
  <c r="F20" i="2" s="1"/>
  <c r="E20" i="2"/>
  <c r="G16" i="4" l="1"/>
  <c r="G19" i="4"/>
  <c r="G18" i="4"/>
  <c r="G9" i="4"/>
  <c r="G27" i="4" s="1"/>
  <c r="G8" i="4"/>
  <c r="G4" i="4" s="1"/>
  <c r="E29" i="3"/>
  <c r="E24" i="3"/>
  <c r="E21" i="2"/>
  <c r="K21" i="2"/>
  <c r="F21" i="2" s="1"/>
  <c r="G6" i="4"/>
  <c r="G7" i="5" s="1"/>
  <c r="G13" i="4"/>
  <c r="G9" i="5" s="1"/>
  <c r="G9" i="3"/>
  <c r="D30" i="3"/>
  <c r="D31" i="3" s="1"/>
  <c r="H7" i="4"/>
  <c r="H8" i="5" s="1"/>
  <c r="H10" i="4"/>
  <c r="H5" i="6"/>
  <c r="H7" i="6" s="1"/>
  <c r="H14" i="4"/>
  <c r="H10" i="5" s="1"/>
  <c r="H6" i="3"/>
  <c r="I5" i="3"/>
  <c r="H5" i="4"/>
  <c r="H6" i="5" s="1"/>
  <c r="H15" i="3"/>
  <c r="H16" i="3"/>
  <c r="H14" i="3"/>
  <c r="H8" i="3"/>
  <c r="C24" i="3"/>
  <c r="C29" i="3"/>
  <c r="B4" i="5"/>
  <c r="B11" i="5" s="1"/>
  <c r="B24" i="5" s="1"/>
  <c r="B26" i="5" s="1"/>
  <c r="B33" i="3"/>
  <c r="G17" i="3"/>
  <c r="G11" i="3"/>
  <c r="G12" i="3" s="1"/>
  <c r="F24" i="3"/>
  <c r="F29" i="3"/>
  <c r="C30" i="3" l="1"/>
  <c r="C32" i="3" s="1"/>
  <c r="I5" i="4"/>
  <c r="I6" i="5" s="1"/>
  <c r="I15" i="3"/>
  <c r="I14" i="3"/>
  <c r="I8" i="3"/>
  <c r="I5" i="6"/>
  <c r="I7" i="6" s="1"/>
  <c r="I14" i="4"/>
  <c r="I10" i="5" s="1"/>
  <c r="I6" i="3"/>
  <c r="J5" i="3"/>
  <c r="I10" i="4"/>
  <c r="I7" i="4"/>
  <c r="I8" i="5" s="1"/>
  <c r="I16" i="3"/>
  <c r="I11" i="3"/>
  <c r="I12" i="3" s="1"/>
  <c r="D32" i="3"/>
  <c r="E30" i="3"/>
  <c r="E32" i="3" s="1"/>
  <c r="C25" i="5"/>
  <c r="B27" i="5"/>
  <c r="F32" i="3"/>
  <c r="F31" i="3"/>
  <c r="F30" i="3"/>
  <c r="H13" i="4"/>
  <c r="H9" i="5" s="1"/>
  <c r="H9" i="3"/>
  <c r="H6" i="4"/>
  <c r="H7" i="5" s="1"/>
  <c r="H17" i="3"/>
  <c r="H24" i="4"/>
  <c r="G25" i="4"/>
  <c r="G14" i="5" s="1"/>
  <c r="G15" i="5" s="1"/>
  <c r="G17" i="4"/>
  <c r="G20" i="4"/>
  <c r="G4" i="6" s="1"/>
  <c r="H11" i="3"/>
  <c r="H12" i="3" s="1"/>
  <c r="G18" i="3"/>
  <c r="G23" i="3"/>
  <c r="H8" i="4"/>
  <c r="H4" i="4" s="1"/>
  <c r="H18" i="4"/>
  <c r="H16" i="4"/>
  <c r="H15" i="4" s="1"/>
  <c r="H18" i="5" s="1"/>
  <c r="H9" i="4"/>
  <c r="H27" i="4" s="1"/>
  <c r="I24" i="4" s="1"/>
  <c r="H19" i="4"/>
  <c r="G15" i="4"/>
  <c r="G18" i="5" s="1"/>
  <c r="C4" i="5" l="1"/>
  <c r="C11" i="5" s="1"/>
  <c r="C24" i="5" s="1"/>
  <c r="C33" i="3"/>
  <c r="C20" i="5"/>
  <c r="C21" i="5" s="1"/>
  <c r="E4" i="5"/>
  <c r="E11" i="5" s="1"/>
  <c r="E33" i="3"/>
  <c r="E20" i="5"/>
  <c r="E21" i="5" s="1"/>
  <c r="H23" i="3"/>
  <c r="H18" i="3"/>
  <c r="C26" i="5"/>
  <c r="I16" i="4"/>
  <c r="I19" i="4"/>
  <c r="I18" i="4"/>
  <c r="I9" i="4"/>
  <c r="I27" i="4" s="1"/>
  <c r="J24" i="4" s="1"/>
  <c r="I8" i="4"/>
  <c r="I4" i="4" s="1"/>
  <c r="H29" i="4"/>
  <c r="H30" i="4" s="1"/>
  <c r="H26" i="3" s="1"/>
  <c r="H27" i="3" s="1"/>
  <c r="G19" i="5"/>
  <c r="G29" i="4"/>
  <c r="G30" i="4" s="1"/>
  <c r="G26" i="3" s="1"/>
  <c r="G27" i="3" s="1"/>
  <c r="J7" i="4"/>
  <c r="J8" i="5" s="1"/>
  <c r="J10" i="4"/>
  <c r="J5" i="6"/>
  <c r="J7" i="6" s="1"/>
  <c r="J14" i="3"/>
  <c r="J16" i="3"/>
  <c r="J17" i="3" s="1"/>
  <c r="J11" i="3"/>
  <c r="J12" i="3" s="1"/>
  <c r="J8" i="3"/>
  <c r="J5" i="4"/>
  <c r="J6" i="5" s="1"/>
  <c r="J15" i="3"/>
  <c r="J14" i="4"/>
  <c r="J10" i="5" s="1"/>
  <c r="J6" i="3"/>
  <c r="K5" i="3"/>
  <c r="H20" i="4"/>
  <c r="H4" i="6" s="1"/>
  <c r="H17" i="4"/>
  <c r="I9" i="3"/>
  <c r="I13" i="4"/>
  <c r="I9" i="5" s="1"/>
  <c r="I6" i="4"/>
  <c r="I7" i="5" s="1"/>
  <c r="G24" i="3"/>
  <c r="G29" i="3"/>
  <c r="E31" i="3"/>
  <c r="I26" i="4"/>
  <c r="I20" i="3" s="1"/>
  <c r="I17" i="3"/>
  <c r="C31" i="3"/>
  <c r="F4" i="5"/>
  <c r="F11" i="5" s="1"/>
  <c r="F24" i="5" s="1"/>
  <c r="F33" i="3"/>
  <c r="F20" i="5"/>
  <c r="F21" i="5" s="1"/>
  <c r="H26" i="4"/>
  <c r="H20" i="3" s="1"/>
  <c r="D33" i="3"/>
  <c r="D4" i="5"/>
  <c r="D11" i="5" s="1"/>
  <c r="D20" i="5"/>
  <c r="D21" i="5" s="1"/>
  <c r="J18" i="3" l="1"/>
  <c r="J26" i="4"/>
  <c r="J20" i="3" s="1"/>
  <c r="J9" i="4"/>
  <c r="J27" i="4" s="1"/>
  <c r="K24" i="4" s="1"/>
  <c r="J19" i="4"/>
  <c r="J16" i="4"/>
  <c r="D24" i="5"/>
  <c r="I25" i="4"/>
  <c r="I14" i="5" s="1"/>
  <c r="I15" i="5" s="1"/>
  <c r="I20" i="4"/>
  <c r="I4" i="6" s="1"/>
  <c r="I17" i="4"/>
  <c r="I29" i="4" s="1"/>
  <c r="I30" i="4" s="1"/>
  <c r="I26" i="3" s="1"/>
  <c r="I27" i="3" s="1"/>
  <c r="E24" i="5"/>
  <c r="I18" i="3"/>
  <c r="I23" i="3"/>
  <c r="I5" i="5"/>
  <c r="I21" i="3"/>
  <c r="H19" i="5"/>
  <c r="K14" i="3"/>
  <c r="K8" i="3"/>
  <c r="K11" i="3" s="1"/>
  <c r="K12" i="3" s="1"/>
  <c r="K14" i="4"/>
  <c r="K10" i="5" s="1"/>
  <c r="K6" i="3"/>
  <c r="K16" i="3"/>
  <c r="K10" i="4"/>
  <c r="K5" i="4"/>
  <c r="K6" i="5" s="1"/>
  <c r="K15" i="3"/>
  <c r="K7" i="4"/>
  <c r="K8" i="5" s="1"/>
  <c r="H29" i="3"/>
  <c r="H24" i="3"/>
  <c r="H5" i="5"/>
  <c r="H21" i="3"/>
  <c r="H25" i="4"/>
  <c r="H14" i="5" s="1"/>
  <c r="H15" i="5" s="1"/>
  <c r="J13" i="4"/>
  <c r="J9" i="5" s="1"/>
  <c r="J6" i="4"/>
  <c r="J7" i="5" s="1"/>
  <c r="J9" i="3"/>
  <c r="I15" i="4"/>
  <c r="I18" i="5" s="1"/>
  <c r="G30" i="3"/>
  <c r="G31" i="3" s="1"/>
  <c r="D25" i="5"/>
  <c r="D26" i="5" s="1"/>
  <c r="C27" i="5"/>
  <c r="K19" i="4" l="1"/>
  <c r="K18" i="4"/>
  <c r="K16" i="4"/>
  <c r="K9" i="4"/>
  <c r="K27" i="4" s="1"/>
  <c r="K25" i="4" s="1"/>
  <c r="K14" i="5" s="1"/>
  <c r="K15" i="5" s="1"/>
  <c r="J18" i="4"/>
  <c r="I19" i="5"/>
  <c r="H30" i="3"/>
  <c r="H31" i="3" s="1"/>
  <c r="K17" i="3"/>
  <c r="J25" i="4"/>
  <c r="J14" i="5" s="1"/>
  <c r="J15" i="5" s="1"/>
  <c r="D27" i="5"/>
  <c r="E25" i="5"/>
  <c r="E26" i="5" s="1"/>
  <c r="G32" i="3"/>
  <c r="J15" i="4"/>
  <c r="J18" i="5" s="1"/>
  <c r="K6" i="4"/>
  <c r="K7" i="5" s="1"/>
  <c r="K9" i="3"/>
  <c r="K13" i="4"/>
  <c r="K9" i="5" s="1"/>
  <c r="K26" i="4"/>
  <c r="K20" i="3" s="1"/>
  <c r="J5" i="5"/>
  <c r="J21" i="3"/>
  <c r="K5" i="6"/>
  <c r="K7" i="6" s="1"/>
  <c r="I24" i="3"/>
  <c r="I29" i="3"/>
  <c r="J8" i="4"/>
  <c r="J4" i="4" s="1"/>
  <c r="J23" i="3"/>
  <c r="J17" i="4" l="1"/>
  <c r="J20" i="4"/>
  <c r="J4" i="6" s="1"/>
  <c r="K15" i="4"/>
  <c r="K18" i="5" s="1"/>
  <c r="H32" i="3"/>
  <c r="K8" i="4"/>
  <c r="K4" i="4" s="1"/>
  <c r="K18" i="3"/>
  <c r="K23" i="3"/>
  <c r="K17" i="4"/>
  <c r="K19" i="5" s="1"/>
  <c r="K20" i="4"/>
  <c r="K4" i="6" s="1"/>
  <c r="G20" i="5"/>
  <c r="G21" i="5" s="1"/>
  <c r="G4" i="5"/>
  <c r="G11" i="5" s="1"/>
  <c r="G24" i="5" s="1"/>
  <c r="G33" i="3"/>
  <c r="E27" i="5"/>
  <c r="F25" i="5"/>
  <c r="F26" i="5" s="1"/>
  <c r="I30" i="3"/>
  <c r="I31" i="3" s="1"/>
  <c r="J24" i="3"/>
  <c r="K5" i="5"/>
  <c r="K21" i="3"/>
  <c r="H4" i="5" l="1"/>
  <c r="H11" i="5" s="1"/>
  <c r="H33" i="3"/>
  <c r="H20" i="5"/>
  <c r="H21" i="5" s="1"/>
  <c r="I32" i="3"/>
  <c r="K29" i="4"/>
  <c r="K30" i="4" s="1"/>
  <c r="K26" i="3" s="1"/>
  <c r="K27" i="3" s="1"/>
  <c r="J19" i="5"/>
  <c r="J29" i="4"/>
  <c r="J30" i="4" s="1"/>
  <c r="J26" i="3" s="1"/>
  <c r="F27" i="5"/>
  <c r="G25" i="5"/>
  <c r="G26" i="5" s="1"/>
  <c r="K24" i="3"/>
  <c r="K29" i="3" l="1"/>
  <c r="J27" i="3"/>
  <c r="J29" i="3"/>
  <c r="I4" i="5"/>
  <c r="I11" i="5" s="1"/>
  <c r="I33" i="3"/>
  <c r="I20" i="5"/>
  <c r="I21" i="5" s="1"/>
  <c r="G27" i="5"/>
  <c r="H25" i="5"/>
  <c r="H24" i="5"/>
  <c r="I24" i="5" l="1"/>
  <c r="J30" i="3"/>
  <c r="J32" i="3" s="1"/>
  <c r="K30" i="3"/>
  <c r="K32" i="3" s="1"/>
  <c r="H26" i="5"/>
  <c r="K4" i="5" l="1"/>
  <c r="K11" i="5" s="1"/>
  <c r="K24" i="5" s="1"/>
  <c r="K33" i="3"/>
  <c r="K20" i="5"/>
  <c r="K21" i="5" s="1"/>
  <c r="J4" i="5"/>
  <c r="J11" i="5" s="1"/>
  <c r="J33" i="3"/>
  <c r="J20" i="5"/>
  <c r="J21" i="5" s="1"/>
  <c r="K31" i="3"/>
  <c r="H27" i="5"/>
  <c r="I25" i="5"/>
  <c r="I26" i="5" s="1"/>
  <c r="J31" i="3"/>
  <c r="J25" i="5" l="1"/>
  <c r="I27" i="5"/>
  <c r="J24" i="5"/>
  <c r="J26" i="5" l="1"/>
  <c r="K25" i="5" l="1"/>
  <c r="K26" i="5" s="1"/>
  <c r="K27" i="5" s="1"/>
  <c r="J27" i="5"/>
</calcChain>
</file>

<file path=xl/sharedStrings.xml><?xml version="1.0" encoding="utf-8"?>
<sst xmlns="http://schemas.openxmlformats.org/spreadsheetml/2006/main" count="117" uniqueCount="96">
  <si>
    <t>Particulars</t>
  </si>
  <si>
    <t>Revenue</t>
  </si>
  <si>
    <t>COGS</t>
  </si>
  <si>
    <t>Rent</t>
  </si>
  <si>
    <t>Travel</t>
  </si>
  <si>
    <t>Depreciation</t>
  </si>
  <si>
    <t>Meal</t>
  </si>
  <si>
    <t>Interest Expense</t>
  </si>
  <si>
    <t>Cash</t>
  </si>
  <si>
    <t>Accounts Receivable</t>
  </si>
  <si>
    <t>Inventory</t>
  </si>
  <si>
    <t>Total Current Assets</t>
  </si>
  <si>
    <t>Net PP&amp;E</t>
  </si>
  <si>
    <t>Total Assets</t>
  </si>
  <si>
    <t>Accounts Payable</t>
  </si>
  <si>
    <t>Short-Term Debt</t>
  </si>
  <si>
    <t>Total Current Liabilities</t>
  </si>
  <si>
    <t>Long-Term Debt</t>
  </si>
  <si>
    <t>Shareholder’s Equity</t>
  </si>
  <si>
    <t>Total Liabilities &amp; Equity</t>
  </si>
  <si>
    <t>Color convention: Green = links (pure references), Black = formulas/calculations, Red = negative values (displayed in parentheses) and Blue = hardcoded inputs; Balance Sheet checks to 0.</t>
  </si>
  <si>
    <t>Assumptions / Drivers</t>
  </si>
  <si>
    <t xml:space="preserve">Forecast Assumptions </t>
  </si>
  <si>
    <t>YoY Revenue Growth</t>
  </si>
  <si>
    <t>COGS (% of Revenue)</t>
  </si>
  <si>
    <t>Rent (% of Revenue)</t>
  </si>
  <si>
    <t>Travel (% of Revenue)</t>
  </si>
  <si>
    <t>Meal (% of Revenue)</t>
  </si>
  <si>
    <t>Interest Rate (% of Long-Term Debt)</t>
  </si>
  <si>
    <t>Depreciation (% of Opening PP&amp;E)</t>
  </si>
  <si>
    <t>Tax Rate (assumption)</t>
  </si>
  <si>
    <t>Balance Sheet (based on last 3 actual years average)</t>
  </si>
  <si>
    <t>Asset Turnover (Rev / Avg Total Assets) - target</t>
  </si>
  <si>
    <t>Accounts Receivable (% of Revenue)</t>
  </si>
  <si>
    <t>Inventory (% of COGS)</t>
  </si>
  <si>
    <t>Accounts Payable (% of COGS)</t>
  </si>
  <si>
    <t>Net PP&amp;E (% of Total Assets) - target</t>
  </si>
  <si>
    <t>Total Current Liabilities (% of Total Assets) - target</t>
  </si>
  <si>
    <t>Shareholders' Equity (% of Total Assets) - target</t>
  </si>
  <si>
    <t>Other Current Assets (% of Revenue)</t>
  </si>
  <si>
    <t>Other Current Liabilities (% of Revenue)</t>
  </si>
  <si>
    <t>Income Statement</t>
  </si>
  <si>
    <t>Particular</t>
  </si>
  <si>
    <t>Sales Growth</t>
  </si>
  <si>
    <t>COGS % Sales</t>
  </si>
  <si>
    <t>Gross Profit</t>
  </si>
  <si>
    <t>Gross Margin</t>
  </si>
  <si>
    <t>EBITDA (ex-Depreciation)</t>
  </si>
  <si>
    <t>EBITDA % Sales</t>
  </si>
  <si>
    <t>Depreciation % Sales</t>
  </si>
  <si>
    <t>EBIT</t>
  </si>
  <si>
    <t>EBIT % Sales</t>
  </si>
  <si>
    <t>Interest % Sales</t>
  </si>
  <si>
    <t>EBT</t>
  </si>
  <si>
    <t>Taxes</t>
  </si>
  <si>
    <t>Effective Tax Rate</t>
  </si>
  <si>
    <t>Net Income</t>
  </si>
  <si>
    <t>Net Margin</t>
  </si>
  <si>
    <t>Balance Sheet</t>
  </si>
  <si>
    <t>Assets</t>
  </si>
  <si>
    <t>Other Current Assets</t>
  </si>
  <si>
    <t>Liabilities &amp; Equity</t>
  </si>
  <si>
    <t>Other Current Liabilities</t>
  </si>
  <si>
    <t>Total Liabilities</t>
  </si>
  <si>
    <t xml:space="preserve">Schedules </t>
  </si>
  <si>
    <t>Opening Net PP&amp;E</t>
  </si>
  <si>
    <t xml:space="preserve">Capex </t>
  </si>
  <si>
    <t>Depreciation (15% of Opening PP&amp;E)</t>
  </si>
  <si>
    <t>Ending Net PP&amp;E</t>
  </si>
  <si>
    <t>Average Long-Term Debt</t>
  </si>
  <si>
    <t>Interest Expense (10% of Avg LTD)</t>
  </si>
  <si>
    <t>Cash Flow Statement</t>
  </si>
  <si>
    <t>Cash Flow from Operations</t>
  </si>
  <si>
    <t>Change in Accounts Receivable</t>
  </si>
  <si>
    <t>Change in Inventory</t>
  </si>
  <si>
    <t>Change in Other Current Assets</t>
  </si>
  <si>
    <t>Change in Accounts Payable</t>
  </si>
  <si>
    <t>Change in Other Current Liabilities</t>
  </si>
  <si>
    <t>Net Cash from Operations</t>
  </si>
  <si>
    <t>Cash Flow from Investing</t>
  </si>
  <si>
    <t>Capex</t>
  </si>
  <si>
    <t>Net Cash from Investing</t>
  </si>
  <si>
    <t>Cash Flow from Financing</t>
  </si>
  <si>
    <t>Change in Short-Term Debt</t>
  </si>
  <si>
    <t>Change in Long-Term Debt</t>
  </si>
  <si>
    <t>Equity Plug (issuance/(dividends))</t>
  </si>
  <si>
    <t>Net Cash from Financing</t>
  </si>
  <si>
    <t>Net Change in Cash</t>
  </si>
  <si>
    <t>Beginning Cash</t>
  </si>
  <si>
    <t>Ending Cash</t>
  </si>
  <si>
    <t>Cash Flow Check (Ending - BS Cash)</t>
  </si>
  <si>
    <t>Checks</t>
  </si>
  <si>
    <t>Balance Sheet Check (Assets - L&amp;E)</t>
  </si>
  <si>
    <t>Asset Turnover (Revenue / Avg Assets)</t>
  </si>
  <si>
    <t>Asset Turnover Target</t>
  </si>
  <si>
    <t>Difference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</si>
</sst>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;[Red]\(#,##0\);&quot;-&quot;"/>
    <numFmt numFmtId="165" formatCode="0.0%"/>
  </numFmts>
  <fonts count="12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</font>
    <font>
      <sz val="11"/>
      <color rgb="FF000000"/>
      <name val="Calibri"/>
      <family val="2"/>
    </font>
    <font>
      <b/>
      <sz val="11"/>
      <name val="Calibri"/>
      <family val="2"/>
    </font>
    <font>
      <sz val="11"/>
      <color rgb="FF0000FF"/>
      <name val="Calibri"/>
      <family val="2"/>
    </font>
    <font>
      <sz val="11"/>
      <color rgb="FF008000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theme="3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</borders>
  <cellStyleXfs count="2">
    <xf numFmtId="0" fontId="0" fillId="0" borderId="0"/>
    <xf numFmtId="9" fontId="6" fillId="0" borderId="0"/>
  </cellStyleXfs>
  <cellXfs count="43">
    <xf numFmtId="0" fontId="0" fillId="0" borderId="0" xfId="0"/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164" fontId="0" fillId="0" borderId="1" xfId="0" applyNumberFormat="1" applyBorder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 vertical="center"/>
    </xf>
    <xf numFmtId="165" fontId="4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left"/>
    </xf>
    <xf numFmtId="165" fontId="0" fillId="0" borderId="0" xfId="0" applyNumberFormat="1" applyAlignment="1">
      <alignment horizontal="left"/>
    </xf>
    <xf numFmtId="0" fontId="1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164" fontId="5" fillId="0" borderId="0" xfId="0" applyNumberFormat="1" applyFont="1" applyAlignment="1">
      <alignment horizontal="left" vertical="center"/>
    </xf>
    <xf numFmtId="164" fontId="0" fillId="0" borderId="0" xfId="0" applyNumberFormat="1" applyAlignment="1">
      <alignment horizontal="left" vertical="center"/>
    </xf>
    <xf numFmtId="0" fontId="8" fillId="0" borderId="0" xfId="0" applyFont="1" applyAlignment="1">
      <alignment horizontal="left" vertical="center"/>
    </xf>
    <xf numFmtId="165" fontId="8" fillId="0" borderId="0" xfId="1" applyNumberFormat="1" applyFont="1" applyAlignment="1">
      <alignment horizontal="left" vertical="center"/>
    </xf>
    <xf numFmtId="164" fontId="3" fillId="0" borderId="0" xfId="0" applyNumberFormat="1" applyFont="1" applyAlignment="1">
      <alignment horizontal="left" vertical="center"/>
    </xf>
    <xf numFmtId="165" fontId="3" fillId="0" borderId="0" xfId="1" applyNumberFormat="1" applyFont="1" applyAlignment="1">
      <alignment horizontal="left" vertical="center"/>
    </xf>
    <xf numFmtId="9" fontId="0" fillId="0" borderId="0" xfId="1" applyFont="1" applyAlignment="1">
      <alignment horizontal="left" vertical="center"/>
    </xf>
    <xf numFmtId="165" fontId="0" fillId="0" borderId="0" xfId="1" applyNumberFormat="1" applyFont="1" applyAlignment="1">
      <alignment horizontal="left"/>
    </xf>
    <xf numFmtId="164" fontId="5" fillId="0" borderId="0" xfId="0" applyNumberFormat="1" applyFont="1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164" fontId="2" fillId="0" borderId="0" xfId="0" applyNumberFormat="1" applyFont="1" applyAlignment="1">
      <alignment horizontal="right" vertical="center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left" vertical="center"/>
    </xf>
    <xf numFmtId="165" fontId="10" fillId="0" borderId="0" xfId="0" applyNumberFormat="1" applyFont="1" applyAlignment="1">
      <alignment horizontal="left" vertical="center"/>
    </xf>
    <xf numFmtId="2" fontId="10" fillId="0" borderId="0" xfId="0" applyNumberFormat="1" applyFont="1" applyAlignment="1">
      <alignment horizontal="left" vertical="center"/>
    </xf>
    <xf numFmtId="164" fontId="11" fillId="0" borderId="0" xfId="0" applyNumberFormat="1" applyFont="1" applyAlignment="1">
      <alignment horizontal="left" vertical="center"/>
    </xf>
    <xf numFmtId="165" fontId="10" fillId="0" borderId="0" xfId="1" applyNumberFormat="1" applyFont="1" applyAlignment="1">
      <alignment horizontal="left" vertical="center"/>
    </xf>
    <xf numFmtId="164" fontId="10" fillId="0" borderId="0" xfId="0" applyNumberFormat="1" applyFont="1" applyAlignment="1">
      <alignment horizontal="left" vertical="center"/>
    </xf>
    <xf numFmtId="164" fontId="11" fillId="0" borderId="0" xfId="0" applyNumberFormat="1" applyFont="1" applyAlignment="1">
      <alignment horizontal="right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7" fillId="2" borderId="0" xfId="0" applyFont="1" applyFill="1" applyAlignment="1">
      <alignment horizontal="center"/>
    </xf>
    <xf numFmtId="0" fontId="7" fillId="2" borderId="0" xfId="0" applyFont="1" applyFill="1" applyAlignment="1">
      <alignment horizontal="left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"/>
  <sheetViews>
    <sheetView showGridLines="0" tabSelected="1" view="pageBreakPreview" zoomScale="60" zoomScaleNormal="85" workbookViewId="0">
      <selection activeCell="B11" sqref="B11"/>
    </sheetView>
  </sheetViews>
  <sheetFormatPr defaultRowHeight="14.4" x14ac:dyDescent="0.3"/>
  <cols>
    <col min="1" max="2" width="28" customWidth="1"/>
    <col min="3" max="7" width="14" customWidth="1"/>
  </cols>
  <sheetData>
    <row r="1" spans="1:6" ht="8.4" customHeight="1" x14ac:dyDescent="0.3"/>
    <row r="2" spans="1:6" x14ac:dyDescent="0.3">
      <c r="A2" s="3" t="s">
        <v>0</v>
      </c>
      <c r="B2" s="3">
        <v>2020</v>
      </c>
      <c r="C2" s="3">
        <v>2021</v>
      </c>
      <c r="D2" s="3">
        <v>2022</v>
      </c>
      <c r="E2" s="3">
        <v>2023</v>
      </c>
      <c r="F2" s="3">
        <v>2024</v>
      </c>
    </row>
    <row r="3" spans="1:6" x14ac:dyDescent="0.3">
      <c r="A3" s="1" t="s">
        <v>1</v>
      </c>
      <c r="B3" s="4">
        <v>1000000</v>
      </c>
      <c r="C3" s="4">
        <v>1260000</v>
      </c>
      <c r="D3" s="4">
        <v>1404000</v>
      </c>
      <c r="E3" s="4">
        <v>1736000</v>
      </c>
      <c r="F3" s="4">
        <v>2070000</v>
      </c>
    </row>
    <row r="4" spans="1:6" x14ac:dyDescent="0.3">
      <c r="A4" s="1" t="s">
        <v>2</v>
      </c>
      <c r="B4" s="4">
        <v>400000</v>
      </c>
      <c r="C4" s="4">
        <v>300000</v>
      </c>
      <c r="D4" s="4">
        <v>600000</v>
      </c>
      <c r="E4" s="4">
        <v>700000</v>
      </c>
      <c r="F4" s="4">
        <v>900000</v>
      </c>
    </row>
    <row r="5" spans="1:6" x14ac:dyDescent="0.3">
      <c r="A5" s="1"/>
      <c r="B5" s="4"/>
      <c r="C5" s="4"/>
      <c r="D5" s="4"/>
      <c r="E5" s="4"/>
      <c r="F5" s="4"/>
    </row>
    <row r="6" spans="1:6" x14ac:dyDescent="0.3">
      <c r="A6" s="1" t="s">
        <v>3</v>
      </c>
      <c r="B6" s="4">
        <v>80000</v>
      </c>
      <c r="C6" s="4">
        <v>80000</v>
      </c>
      <c r="D6" s="4">
        <v>95000</v>
      </c>
      <c r="E6" s="4">
        <v>105000</v>
      </c>
      <c r="F6" s="4">
        <v>110000</v>
      </c>
    </row>
    <row r="7" spans="1:6" x14ac:dyDescent="0.3">
      <c r="A7" s="1" t="s">
        <v>4</v>
      </c>
      <c r="B7" s="4">
        <v>50000</v>
      </c>
      <c r="C7" s="4">
        <v>60000</v>
      </c>
      <c r="D7" s="4">
        <v>65000</v>
      </c>
      <c r="E7" s="4">
        <v>70000</v>
      </c>
      <c r="F7" s="4">
        <v>85000</v>
      </c>
    </row>
    <row r="8" spans="1:6" x14ac:dyDescent="0.3">
      <c r="A8" s="1" t="s">
        <v>5</v>
      </c>
      <c r="B8" s="4">
        <v>58000</v>
      </c>
      <c r="C8" s="4">
        <v>63500</v>
      </c>
      <c r="D8" s="4">
        <v>70000</v>
      </c>
      <c r="E8" s="4">
        <v>77500</v>
      </c>
      <c r="F8" s="4">
        <v>85000</v>
      </c>
    </row>
    <row r="9" spans="1:6" x14ac:dyDescent="0.3">
      <c r="A9" s="1" t="s">
        <v>6</v>
      </c>
      <c r="B9" s="4">
        <v>120000</v>
      </c>
      <c r="C9" s="4">
        <v>110000</v>
      </c>
      <c r="D9" s="4">
        <v>135000</v>
      </c>
      <c r="E9" s="4">
        <v>155000</v>
      </c>
      <c r="F9" s="4">
        <v>165000</v>
      </c>
    </row>
    <row r="10" spans="1:6" x14ac:dyDescent="0.3">
      <c r="A10" s="1" t="s">
        <v>7</v>
      </c>
      <c r="B10" s="4">
        <v>15000</v>
      </c>
      <c r="C10" s="4">
        <v>16000</v>
      </c>
      <c r="D10" s="4">
        <v>18000</v>
      </c>
      <c r="E10" s="4">
        <v>18500</v>
      </c>
      <c r="F10" s="4">
        <v>19000</v>
      </c>
    </row>
    <row r="11" spans="1:6" x14ac:dyDescent="0.3">
      <c r="A11" s="1"/>
      <c r="B11" s="4"/>
      <c r="C11" s="4"/>
      <c r="D11" s="4"/>
      <c r="E11" s="4"/>
      <c r="F11" s="4"/>
    </row>
    <row r="12" spans="1:6" x14ac:dyDescent="0.3">
      <c r="A12" s="1" t="s">
        <v>8</v>
      </c>
      <c r="B12" s="4">
        <v>60000</v>
      </c>
      <c r="C12" s="4">
        <v>70000</v>
      </c>
      <c r="D12" s="4">
        <v>80000</v>
      </c>
      <c r="E12" s="4">
        <v>95000</v>
      </c>
      <c r="F12" s="4">
        <v>110000</v>
      </c>
    </row>
    <row r="13" spans="1:6" x14ac:dyDescent="0.3">
      <c r="A13" s="1" t="s">
        <v>9</v>
      </c>
      <c r="B13" s="4">
        <v>90000</v>
      </c>
      <c r="C13" s="4">
        <v>105000</v>
      </c>
      <c r="D13" s="4">
        <v>120000</v>
      </c>
      <c r="E13" s="4">
        <v>140000</v>
      </c>
      <c r="F13" s="4">
        <v>160000</v>
      </c>
    </row>
    <row r="14" spans="1:6" x14ac:dyDescent="0.3">
      <c r="A14" s="1" t="s">
        <v>10</v>
      </c>
      <c r="B14" s="4">
        <v>80000</v>
      </c>
      <c r="C14" s="4">
        <v>90000</v>
      </c>
      <c r="D14" s="4">
        <v>100000</v>
      </c>
      <c r="E14" s="4">
        <v>110000</v>
      </c>
      <c r="F14" s="4">
        <v>120000</v>
      </c>
    </row>
    <row r="15" spans="1:6" x14ac:dyDescent="0.3">
      <c r="A15" s="2" t="s">
        <v>11</v>
      </c>
      <c r="B15" s="4">
        <v>230000</v>
      </c>
      <c r="C15" s="4">
        <v>265000</v>
      </c>
      <c r="D15" s="4">
        <v>300000</v>
      </c>
      <c r="E15" s="4">
        <v>345000</v>
      </c>
      <c r="F15" s="4">
        <v>390000</v>
      </c>
    </row>
    <row r="16" spans="1:6" x14ac:dyDescent="0.3">
      <c r="A16" s="1" t="s">
        <v>12</v>
      </c>
      <c r="B16" s="4">
        <v>350000</v>
      </c>
      <c r="C16" s="4">
        <v>370000</v>
      </c>
      <c r="D16" s="4">
        <v>400000</v>
      </c>
      <c r="E16" s="4">
        <v>430000</v>
      </c>
      <c r="F16" s="4">
        <v>460000</v>
      </c>
    </row>
    <row r="17" spans="1:8" x14ac:dyDescent="0.3">
      <c r="A17" s="2" t="s">
        <v>13</v>
      </c>
      <c r="B17" s="4">
        <v>580000</v>
      </c>
      <c r="C17" s="4">
        <v>635000</v>
      </c>
      <c r="D17" s="4">
        <v>700000</v>
      </c>
      <c r="E17" s="4">
        <v>775000</v>
      </c>
      <c r="F17" s="4">
        <v>850000</v>
      </c>
    </row>
    <row r="18" spans="1:8" x14ac:dyDescent="0.3">
      <c r="A18" s="1" t="s">
        <v>14</v>
      </c>
      <c r="B18" s="4">
        <v>70000</v>
      </c>
      <c r="C18" s="4">
        <v>80000</v>
      </c>
      <c r="D18" s="4">
        <v>90000</v>
      </c>
      <c r="E18" s="4">
        <v>100000</v>
      </c>
      <c r="F18" s="4">
        <v>110000</v>
      </c>
    </row>
    <row r="19" spans="1:8" x14ac:dyDescent="0.3">
      <c r="A19" s="1" t="s">
        <v>15</v>
      </c>
      <c r="B19" s="4">
        <v>20000</v>
      </c>
      <c r="C19" s="4">
        <v>25000</v>
      </c>
      <c r="D19" s="4">
        <v>30000</v>
      </c>
      <c r="E19" s="4">
        <v>35000</v>
      </c>
      <c r="F19" s="4">
        <v>40000</v>
      </c>
    </row>
    <row r="20" spans="1:8" x14ac:dyDescent="0.3">
      <c r="A20" s="2" t="s">
        <v>16</v>
      </c>
      <c r="B20" s="4">
        <v>90000</v>
      </c>
      <c r="C20" s="4">
        <v>105000</v>
      </c>
      <c r="D20" s="4">
        <v>120000</v>
      </c>
      <c r="E20" s="4">
        <v>135000</v>
      </c>
      <c r="F20" s="4">
        <v>150000</v>
      </c>
    </row>
    <row r="21" spans="1:8" x14ac:dyDescent="0.3">
      <c r="A21" s="1" t="s">
        <v>17</v>
      </c>
      <c r="B21" s="4">
        <v>160000</v>
      </c>
      <c r="C21" s="4">
        <v>180000</v>
      </c>
      <c r="D21" s="4">
        <v>200000</v>
      </c>
      <c r="E21" s="4">
        <v>210000</v>
      </c>
      <c r="F21" s="4">
        <v>220000</v>
      </c>
    </row>
    <row r="22" spans="1:8" x14ac:dyDescent="0.3">
      <c r="A22" s="2" t="s">
        <v>18</v>
      </c>
      <c r="B22" s="4">
        <v>330000</v>
      </c>
      <c r="C22" s="4">
        <v>350000</v>
      </c>
      <c r="D22" s="4">
        <v>380000</v>
      </c>
      <c r="E22" s="4">
        <v>430000</v>
      </c>
      <c r="F22" s="4">
        <v>480000</v>
      </c>
    </row>
    <row r="23" spans="1:8" x14ac:dyDescent="0.3">
      <c r="A23" s="2" t="s">
        <v>19</v>
      </c>
      <c r="B23" s="4">
        <v>580000</v>
      </c>
      <c r="C23" s="4">
        <v>635000</v>
      </c>
      <c r="D23" s="4">
        <v>700000</v>
      </c>
      <c r="E23" s="4">
        <v>775000</v>
      </c>
      <c r="F23" s="4">
        <v>850000</v>
      </c>
    </row>
    <row r="25" spans="1:8" ht="14.4" customHeight="1" x14ac:dyDescent="0.3">
      <c r="A25" s="36" t="s">
        <v>20</v>
      </c>
      <c r="B25" s="36"/>
      <c r="C25" s="36"/>
      <c r="D25" s="36"/>
      <c r="E25" s="36"/>
      <c r="F25" s="36"/>
      <c r="G25" s="34"/>
      <c r="H25" s="34"/>
    </row>
    <row r="26" spans="1:8" x14ac:dyDescent="0.3">
      <c r="A26" s="36"/>
      <c r="B26" s="36"/>
      <c r="C26" s="36"/>
      <c r="D26" s="36"/>
      <c r="E26" s="36"/>
      <c r="F26" s="36"/>
      <c r="G26" s="34"/>
      <c r="H26" s="34"/>
    </row>
    <row r="27" spans="1:8" x14ac:dyDescent="0.3">
      <c r="A27" s="36"/>
      <c r="B27" s="36"/>
      <c r="C27" s="36"/>
      <c r="D27" s="36"/>
      <c r="E27" s="36"/>
      <c r="F27" s="36"/>
      <c r="G27" s="34"/>
    </row>
    <row r="28" spans="1:8" x14ac:dyDescent="0.3">
      <c r="A28" s="36"/>
      <c r="B28" s="36"/>
      <c r="C28" s="36"/>
      <c r="D28" s="36"/>
      <c r="E28" s="36"/>
      <c r="F28" s="36"/>
      <c r="G28" s="34"/>
    </row>
    <row r="29" spans="1:8" x14ac:dyDescent="0.3">
      <c r="A29" s="36"/>
      <c r="B29" s="36"/>
      <c r="C29" s="36"/>
      <c r="D29" s="36"/>
      <c r="E29" s="36"/>
      <c r="F29" s="36"/>
    </row>
  </sheetData>
  <sheetProtection algorithmName="SHA-512" hashValue="5ItDoooXUHGyEDK9f4x2wZZXPmHynd1j9ROjEV+n1FlHIb+9aEQuqKHa0VJ4cLBp4s4DmC4qy3qeqkH2984VOQ==" saltValue="1aTDZc4GaY6oxd8XvBI9zQ==" spinCount="100000" sheet="1" objects="1" scenarios="1"/>
  <mergeCells count="1">
    <mergeCell ref="A25:F29"/>
  </mergeCells>
  <pageMargins left="0.7" right="0.7" top="0.75" bottom="0.75" header="0.3" footer="0.3"/>
  <pageSetup scale="85" orientation="portrait" r:id="rId1"/>
  <headerFooter>
    <oddHeader>&amp;CPratyush
Prasad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1"/>
  <sheetViews>
    <sheetView showGridLines="0" view="pageBreakPreview" zoomScale="60" zoomScaleNormal="85" workbookViewId="0">
      <selection activeCell="B25" sqref="B25"/>
    </sheetView>
  </sheetViews>
  <sheetFormatPr defaultRowHeight="14.4" x14ac:dyDescent="0.3"/>
  <cols>
    <col min="1" max="1" width="46.6640625" customWidth="1"/>
    <col min="2" max="11" width="12" customWidth="1"/>
  </cols>
  <sheetData>
    <row r="1" spans="1:11" x14ac:dyDescent="0.3">
      <c r="A1" s="5" t="s">
        <v>21</v>
      </c>
      <c r="B1" s="5">
        <v>2020</v>
      </c>
      <c r="C1" s="5">
        <v>2021</v>
      </c>
      <c r="D1" s="5">
        <v>2022</v>
      </c>
      <c r="E1" s="5">
        <v>2023</v>
      </c>
      <c r="F1" s="5">
        <v>2024</v>
      </c>
      <c r="G1" s="5">
        <v>2025</v>
      </c>
      <c r="H1" s="5">
        <v>2026</v>
      </c>
      <c r="I1" s="5">
        <v>2027</v>
      </c>
      <c r="J1" s="5">
        <v>2028</v>
      </c>
      <c r="K1" s="5">
        <v>2029</v>
      </c>
    </row>
    <row r="2" spans="1:11" x14ac:dyDescent="0.3">
      <c r="A2" s="37" t="s">
        <v>22</v>
      </c>
      <c r="B2" s="38"/>
      <c r="C2" s="38"/>
      <c r="D2" s="38"/>
      <c r="E2" s="38"/>
      <c r="F2" s="38"/>
      <c r="G2" s="38"/>
      <c r="H2" s="38"/>
      <c r="I2" s="38"/>
      <c r="J2" s="38"/>
      <c r="K2" s="38"/>
    </row>
    <row r="3" spans="1:11" x14ac:dyDescent="0.3">
      <c r="A3" s="6" t="s">
        <v>23</v>
      </c>
      <c r="B3" s="8"/>
      <c r="C3" s="8"/>
      <c r="D3" s="8"/>
      <c r="E3" s="8"/>
      <c r="F3" s="8"/>
      <c r="G3" s="9">
        <v>0.16</v>
      </c>
      <c r="H3" s="9">
        <v>0.18</v>
      </c>
      <c r="I3" s="9">
        <v>0.2</v>
      </c>
      <c r="J3" s="9">
        <v>0.22</v>
      </c>
      <c r="K3" s="9">
        <v>0.24</v>
      </c>
    </row>
    <row r="4" spans="1:11" x14ac:dyDescent="0.3">
      <c r="A4" s="6" t="s">
        <v>24</v>
      </c>
      <c r="B4" s="28">
        <f t="shared" ref="B4:B10" si="0">G4</f>
        <v>0.35</v>
      </c>
      <c r="C4" s="28">
        <f t="shared" ref="C4:C10" si="1">G4</f>
        <v>0.35</v>
      </c>
      <c r="D4" s="28">
        <f t="shared" ref="D4:D10" si="2">G4</f>
        <v>0.35</v>
      </c>
      <c r="E4" s="28">
        <f t="shared" ref="E4:E10" si="3">G4</f>
        <v>0.35</v>
      </c>
      <c r="F4" s="28">
        <f t="shared" ref="F4:F10" si="4">G4</f>
        <v>0.35</v>
      </c>
      <c r="G4" s="9">
        <v>0.35</v>
      </c>
      <c r="H4" s="28">
        <f t="shared" ref="H4:H10" si="5">G4</f>
        <v>0.35</v>
      </c>
      <c r="I4" s="28">
        <f t="shared" ref="I4:I10" si="6">G4</f>
        <v>0.35</v>
      </c>
      <c r="J4" s="28">
        <f t="shared" ref="J4:J10" si="7">G4</f>
        <v>0.35</v>
      </c>
      <c r="K4" s="28">
        <f t="shared" ref="K4:K10" si="8">G4</f>
        <v>0.35</v>
      </c>
    </row>
    <row r="5" spans="1:11" x14ac:dyDescent="0.3">
      <c r="A5" s="6" t="s">
        <v>25</v>
      </c>
      <c r="B5" s="28">
        <f t="shared" si="0"/>
        <v>7.0000000000000007E-2</v>
      </c>
      <c r="C5" s="28">
        <f t="shared" si="1"/>
        <v>7.0000000000000007E-2</v>
      </c>
      <c r="D5" s="28">
        <f t="shared" si="2"/>
        <v>7.0000000000000007E-2</v>
      </c>
      <c r="E5" s="28">
        <f t="shared" si="3"/>
        <v>7.0000000000000007E-2</v>
      </c>
      <c r="F5" s="28">
        <f t="shared" si="4"/>
        <v>7.0000000000000007E-2</v>
      </c>
      <c r="G5" s="9">
        <v>7.0000000000000007E-2</v>
      </c>
      <c r="H5" s="28">
        <f t="shared" si="5"/>
        <v>7.0000000000000007E-2</v>
      </c>
      <c r="I5" s="28">
        <f t="shared" si="6"/>
        <v>7.0000000000000007E-2</v>
      </c>
      <c r="J5" s="28">
        <f t="shared" si="7"/>
        <v>7.0000000000000007E-2</v>
      </c>
      <c r="K5" s="28">
        <f t="shared" si="8"/>
        <v>7.0000000000000007E-2</v>
      </c>
    </row>
    <row r="6" spans="1:11" x14ac:dyDescent="0.3">
      <c r="A6" s="6" t="s">
        <v>26</v>
      </c>
      <c r="B6" s="28">
        <f t="shared" si="0"/>
        <v>0.05</v>
      </c>
      <c r="C6" s="28">
        <f t="shared" si="1"/>
        <v>0.05</v>
      </c>
      <c r="D6" s="28">
        <f t="shared" si="2"/>
        <v>0.05</v>
      </c>
      <c r="E6" s="28">
        <f t="shared" si="3"/>
        <v>0.05</v>
      </c>
      <c r="F6" s="28">
        <f t="shared" si="4"/>
        <v>0.05</v>
      </c>
      <c r="G6" s="9">
        <v>0.05</v>
      </c>
      <c r="H6" s="28">
        <f t="shared" si="5"/>
        <v>0.05</v>
      </c>
      <c r="I6" s="28">
        <f t="shared" si="6"/>
        <v>0.05</v>
      </c>
      <c r="J6" s="28">
        <f t="shared" si="7"/>
        <v>0.05</v>
      </c>
      <c r="K6" s="28">
        <f t="shared" si="8"/>
        <v>0.05</v>
      </c>
    </row>
    <row r="7" spans="1:11" x14ac:dyDescent="0.3">
      <c r="A7" s="6" t="s">
        <v>27</v>
      </c>
      <c r="B7" s="28">
        <f t="shared" si="0"/>
        <v>0.11</v>
      </c>
      <c r="C7" s="28">
        <f t="shared" si="1"/>
        <v>0.11</v>
      </c>
      <c r="D7" s="28">
        <f t="shared" si="2"/>
        <v>0.11</v>
      </c>
      <c r="E7" s="28">
        <f t="shared" si="3"/>
        <v>0.11</v>
      </c>
      <c r="F7" s="28">
        <f t="shared" si="4"/>
        <v>0.11</v>
      </c>
      <c r="G7" s="9">
        <v>0.11</v>
      </c>
      <c r="H7" s="28">
        <f t="shared" si="5"/>
        <v>0.11</v>
      </c>
      <c r="I7" s="28">
        <f t="shared" si="6"/>
        <v>0.11</v>
      </c>
      <c r="J7" s="28">
        <f t="shared" si="7"/>
        <v>0.11</v>
      </c>
      <c r="K7" s="28">
        <f t="shared" si="8"/>
        <v>0.11</v>
      </c>
    </row>
    <row r="8" spans="1:11" x14ac:dyDescent="0.3">
      <c r="A8" s="6" t="s">
        <v>28</v>
      </c>
      <c r="B8" s="28">
        <f t="shared" si="0"/>
        <v>0.1</v>
      </c>
      <c r="C8" s="28">
        <f t="shared" si="1"/>
        <v>0.1</v>
      </c>
      <c r="D8" s="28">
        <f t="shared" si="2"/>
        <v>0.1</v>
      </c>
      <c r="E8" s="28">
        <f t="shared" si="3"/>
        <v>0.1</v>
      </c>
      <c r="F8" s="28">
        <f t="shared" si="4"/>
        <v>0.1</v>
      </c>
      <c r="G8" s="9">
        <v>0.1</v>
      </c>
      <c r="H8" s="28">
        <f t="shared" si="5"/>
        <v>0.1</v>
      </c>
      <c r="I8" s="28">
        <f t="shared" si="6"/>
        <v>0.1</v>
      </c>
      <c r="J8" s="28">
        <f t="shared" si="7"/>
        <v>0.1</v>
      </c>
      <c r="K8" s="28">
        <f t="shared" si="8"/>
        <v>0.1</v>
      </c>
    </row>
    <row r="9" spans="1:11" x14ac:dyDescent="0.3">
      <c r="A9" s="6" t="s">
        <v>29</v>
      </c>
      <c r="B9" s="28">
        <f t="shared" si="0"/>
        <v>0.15</v>
      </c>
      <c r="C9" s="28">
        <f t="shared" si="1"/>
        <v>0.15</v>
      </c>
      <c r="D9" s="28">
        <f t="shared" si="2"/>
        <v>0.15</v>
      </c>
      <c r="E9" s="28">
        <f t="shared" si="3"/>
        <v>0.15</v>
      </c>
      <c r="F9" s="28">
        <f t="shared" si="4"/>
        <v>0.15</v>
      </c>
      <c r="G9" s="9">
        <v>0.15</v>
      </c>
      <c r="H9" s="28">
        <f t="shared" si="5"/>
        <v>0.15</v>
      </c>
      <c r="I9" s="28">
        <f t="shared" si="6"/>
        <v>0.15</v>
      </c>
      <c r="J9" s="28">
        <f t="shared" si="7"/>
        <v>0.15</v>
      </c>
      <c r="K9" s="28">
        <f t="shared" si="8"/>
        <v>0.15</v>
      </c>
    </row>
    <row r="10" spans="1:11" x14ac:dyDescent="0.3">
      <c r="A10" s="6" t="s">
        <v>30</v>
      </c>
      <c r="B10" s="28">
        <f t="shared" si="0"/>
        <v>0.25</v>
      </c>
      <c r="C10" s="28">
        <f t="shared" si="1"/>
        <v>0.25</v>
      </c>
      <c r="D10" s="28">
        <f t="shared" si="2"/>
        <v>0.25</v>
      </c>
      <c r="E10" s="28">
        <f t="shared" si="3"/>
        <v>0.25</v>
      </c>
      <c r="F10" s="28">
        <f t="shared" si="4"/>
        <v>0.25</v>
      </c>
      <c r="G10" s="9">
        <v>0.25</v>
      </c>
      <c r="H10" s="28">
        <f t="shared" si="5"/>
        <v>0.25</v>
      </c>
      <c r="I10" s="28">
        <f t="shared" si="6"/>
        <v>0.25</v>
      </c>
      <c r="J10" s="28">
        <f t="shared" si="7"/>
        <v>0.25</v>
      </c>
      <c r="K10" s="28">
        <f t="shared" si="8"/>
        <v>0.25</v>
      </c>
    </row>
    <row r="11" spans="1:1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pans="1:11" x14ac:dyDescent="0.3">
      <c r="A12" s="37" t="s">
        <v>31</v>
      </c>
      <c r="B12" s="38"/>
      <c r="C12" s="38"/>
      <c r="D12" s="38"/>
      <c r="E12" s="38"/>
      <c r="F12" s="38"/>
      <c r="G12" s="38"/>
      <c r="H12" s="38"/>
      <c r="I12" s="38"/>
      <c r="J12" s="38"/>
      <c r="K12" s="38"/>
    </row>
    <row r="13" spans="1:11" x14ac:dyDescent="0.3">
      <c r="A13" s="6" t="s">
        <v>32</v>
      </c>
      <c r="B13" s="7"/>
      <c r="C13" s="7"/>
      <c r="D13" s="7"/>
      <c r="E13" s="7"/>
      <c r="F13" s="7"/>
      <c r="G13" s="29">
        <f>AVERAGE((Actuals!D3/AVERAGE(Actuals!C17,Actuals!D17)),(Actuals!E3/AVERAGE(Actuals!D17,Actuals!E17)),(Actuals!F3/AVERAGE(Actuals!E17,Actuals!F17)))</f>
        <v>2.334987133097969</v>
      </c>
      <c r="H13" s="29">
        <f t="shared" ref="H13:H21" si="9">G13</f>
        <v>2.334987133097969</v>
      </c>
      <c r="I13" s="29">
        <f t="shared" ref="I13:I19" si="10">G13</f>
        <v>2.334987133097969</v>
      </c>
      <c r="J13" s="29">
        <f t="shared" ref="J13:J19" si="11">G13</f>
        <v>2.334987133097969</v>
      </c>
      <c r="K13" s="29">
        <f t="shared" ref="K13:K19" si="12">G13</f>
        <v>2.334987133097969</v>
      </c>
    </row>
    <row r="14" spans="1:11" x14ac:dyDescent="0.3">
      <c r="A14" s="6" t="s">
        <v>33</v>
      </c>
      <c r="B14" s="7"/>
      <c r="C14" s="7"/>
      <c r="D14" s="7"/>
      <c r="E14" s="7"/>
      <c r="F14" s="7"/>
      <c r="G14" s="28">
        <f>AVERAGE(Actuals!D13/Actuals!D3,Actuals!E13/Actuals!E3,Actuals!F13/Actuals!F3)</f>
        <v>8.1136644250248746E-2</v>
      </c>
      <c r="H14" s="28">
        <f t="shared" si="9"/>
        <v>8.1136644250248746E-2</v>
      </c>
      <c r="I14" s="28">
        <f t="shared" si="10"/>
        <v>8.1136644250248746E-2</v>
      </c>
      <c r="J14" s="28">
        <f t="shared" si="11"/>
        <v>8.1136644250248746E-2</v>
      </c>
      <c r="K14" s="28">
        <f t="shared" si="12"/>
        <v>8.1136644250248746E-2</v>
      </c>
    </row>
    <row r="15" spans="1:11" x14ac:dyDescent="0.3">
      <c r="A15" s="6" t="s">
        <v>34</v>
      </c>
      <c r="B15" s="7"/>
      <c r="C15" s="7"/>
      <c r="D15" s="7"/>
      <c r="E15" s="7"/>
      <c r="F15" s="7"/>
      <c r="G15" s="28">
        <f>AVERAGE(Actuals!D14/Actuals!D4,Actuals!E14/Actuals!E4,Actuals!F14/Actuals!F4)</f>
        <v>0.15238095238095237</v>
      </c>
      <c r="H15" s="28">
        <f t="shared" si="9"/>
        <v>0.15238095238095237</v>
      </c>
      <c r="I15" s="28">
        <f t="shared" si="10"/>
        <v>0.15238095238095237</v>
      </c>
      <c r="J15" s="28">
        <f t="shared" si="11"/>
        <v>0.15238095238095237</v>
      </c>
      <c r="K15" s="28">
        <f t="shared" si="12"/>
        <v>0.15238095238095237</v>
      </c>
    </row>
    <row r="16" spans="1:11" x14ac:dyDescent="0.3">
      <c r="A16" s="6" t="s">
        <v>35</v>
      </c>
      <c r="B16" s="7"/>
      <c r="C16" s="7"/>
      <c r="D16" s="7"/>
      <c r="E16" s="7"/>
      <c r="F16" s="7"/>
      <c r="G16" s="28">
        <f>AVERAGE(Actuals!D18/Actuals!D4,Actuals!E18/Actuals!E4,Actuals!F18/Actuals!F4)</f>
        <v>0.13835978835978835</v>
      </c>
      <c r="H16" s="28">
        <f t="shared" si="9"/>
        <v>0.13835978835978835</v>
      </c>
      <c r="I16" s="28">
        <f t="shared" si="10"/>
        <v>0.13835978835978835</v>
      </c>
      <c r="J16" s="28">
        <f t="shared" si="11"/>
        <v>0.13835978835978835</v>
      </c>
      <c r="K16" s="28">
        <f t="shared" si="12"/>
        <v>0.13835978835978835</v>
      </c>
    </row>
    <row r="17" spans="1:11" x14ac:dyDescent="0.3">
      <c r="A17" s="6" t="s">
        <v>36</v>
      </c>
      <c r="B17" s="7"/>
      <c r="C17" s="7"/>
      <c r="D17" s="7"/>
      <c r="E17" s="7"/>
      <c r="F17" s="7"/>
      <c r="G17" s="28">
        <f>AVERAGE(Actuals!D16/Actuals!D17,Actuals!E16/Actuals!E17,Actuals!F16/Actuals!F17)</f>
        <v>0.55581458389807537</v>
      </c>
      <c r="H17" s="28">
        <f t="shared" si="9"/>
        <v>0.55581458389807537</v>
      </c>
      <c r="I17" s="28">
        <f t="shared" si="10"/>
        <v>0.55581458389807537</v>
      </c>
      <c r="J17" s="28">
        <f t="shared" si="11"/>
        <v>0.55581458389807537</v>
      </c>
      <c r="K17" s="28">
        <f t="shared" si="12"/>
        <v>0.55581458389807537</v>
      </c>
    </row>
    <row r="18" spans="1:11" x14ac:dyDescent="0.3">
      <c r="A18" s="6" t="s">
        <v>37</v>
      </c>
      <c r="B18" s="7"/>
      <c r="C18" s="7"/>
      <c r="D18" s="7"/>
      <c r="E18" s="7"/>
      <c r="F18" s="7"/>
      <c r="G18" s="28">
        <f>AVERAGE(Actuals!D20/Actuals!D17,Actuals!E20/Actuals!E17,Actuals!F20/Actuals!F17)</f>
        <v>0.17403090268365409</v>
      </c>
      <c r="H18" s="28">
        <f t="shared" si="9"/>
        <v>0.17403090268365409</v>
      </c>
      <c r="I18" s="28">
        <f t="shared" si="10"/>
        <v>0.17403090268365409</v>
      </c>
      <c r="J18" s="28">
        <f t="shared" si="11"/>
        <v>0.17403090268365409</v>
      </c>
      <c r="K18" s="28">
        <f t="shared" si="12"/>
        <v>0.17403090268365409</v>
      </c>
    </row>
    <row r="19" spans="1:11" x14ac:dyDescent="0.3">
      <c r="A19" s="6" t="s">
        <v>38</v>
      </c>
      <c r="B19" s="7"/>
      <c r="C19" s="7"/>
      <c r="D19" s="7"/>
      <c r="E19" s="7"/>
      <c r="F19" s="7"/>
      <c r="G19" s="28">
        <f>AVERAGE(Actuals!D22/Actuals!D17,Actuals!E22/Actuals!E17,Actuals!F22/Actuals!F17)</f>
        <v>0.55413391162916781</v>
      </c>
      <c r="H19" s="28">
        <f t="shared" si="9"/>
        <v>0.55413391162916781</v>
      </c>
      <c r="I19" s="28">
        <f t="shared" si="10"/>
        <v>0.55413391162916781</v>
      </c>
      <c r="J19" s="28">
        <f t="shared" si="11"/>
        <v>0.55413391162916781</v>
      </c>
      <c r="K19" s="28">
        <f t="shared" si="12"/>
        <v>0.55413391162916781</v>
      </c>
    </row>
    <row r="20" spans="1:11" x14ac:dyDescent="0.3">
      <c r="A20" s="10" t="s">
        <v>39</v>
      </c>
      <c r="B20" s="11">
        <f t="shared" ref="B20:F21" si="13">G20</f>
        <v>0</v>
      </c>
      <c r="C20" s="11">
        <f t="shared" si="13"/>
        <v>0</v>
      </c>
      <c r="D20" s="11">
        <f t="shared" si="13"/>
        <v>0</v>
      </c>
      <c r="E20" s="11">
        <f t="shared" si="13"/>
        <v>0</v>
      </c>
      <c r="F20" s="11">
        <f t="shared" si="13"/>
        <v>0</v>
      </c>
      <c r="G20" s="9">
        <v>0</v>
      </c>
      <c r="H20" s="11">
        <f t="shared" si="9"/>
        <v>0</v>
      </c>
      <c r="I20" s="11">
        <f t="shared" ref="I20:K21" si="14">H20</f>
        <v>0</v>
      </c>
      <c r="J20" s="11">
        <f t="shared" si="14"/>
        <v>0</v>
      </c>
      <c r="K20" s="11">
        <f t="shared" si="14"/>
        <v>0</v>
      </c>
    </row>
    <row r="21" spans="1:11" x14ac:dyDescent="0.3">
      <c r="A21" s="10" t="s">
        <v>40</v>
      </c>
      <c r="B21" s="11">
        <f t="shared" si="13"/>
        <v>0</v>
      </c>
      <c r="C21" s="11">
        <f t="shared" si="13"/>
        <v>0</v>
      </c>
      <c r="D21" s="11">
        <f t="shared" si="13"/>
        <v>0</v>
      </c>
      <c r="E21" s="11">
        <f t="shared" si="13"/>
        <v>0</v>
      </c>
      <c r="F21" s="11">
        <f t="shared" si="13"/>
        <v>0</v>
      </c>
      <c r="G21" s="9">
        <v>0</v>
      </c>
      <c r="H21" s="11">
        <f t="shared" si="9"/>
        <v>0</v>
      </c>
      <c r="I21" s="11">
        <f t="shared" si="14"/>
        <v>0</v>
      </c>
      <c r="J21" s="11">
        <f t="shared" si="14"/>
        <v>0</v>
      </c>
      <c r="K21" s="11">
        <f t="shared" si="14"/>
        <v>0</v>
      </c>
    </row>
  </sheetData>
  <sheetProtection algorithmName="SHA-512" hashValue="nedWbzkpqjxsOsLfLXvedKQB3GfZTqvdsGV+yieIJM1jhPm4IFKcVJBRGEKCjl97VIgBDksEQMRsI0f8oJkDfw==" saltValue="ok/jBiJETcN59YWq3YhlAA==" spinCount="100000" sheet="1" objects="1" scenarios="1"/>
  <mergeCells count="2">
    <mergeCell ref="A2:K2"/>
    <mergeCell ref="A12:K12"/>
  </mergeCells>
  <pageMargins left="0.7" right="0.7" top="0.75" bottom="0.75" header="0.3" footer="0.3"/>
  <pageSetup scale="8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3"/>
  <sheetViews>
    <sheetView showGridLines="0" view="pageBreakPreview" zoomScale="60" zoomScaleNormal="85" workbookViewId="0">
      <selection sqref="A1:K1"/>
    </sheetView>
  </sheetViews>
  <sheetFormatPr defaultRowHeight="14.4" x14ac:dyDescent="0.3"/>
  <cols>
    <col min="1" max="1" width="30" style="26" customWidth="1"/>
    <col min="2" max="11" width="14" style="26" customWidth="1"/>
    <col min="12" max="12" width="8.88671875" style="26" customWidth="1"/>
    <col min="13" max="16384" width="8.88671875" style="26"/>
  </cols>
  <sheetData>
    <row r="1" spans="1:11" x14ac:dyDescent="0.3">
      <c r="A1" s="39" t="s">
        <v>41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1" x14ac:dyDescent="0.3">
      <c r="A2" s="13" t="s">
        <v>42</v>
      </c>
      <c r="B2" s="5">
        <v>2020</v>
      </c>
      <c r="C2" s="5">
        <v>2021</v>
      </c>
      <c r="D2" s="5">
        <v>2022</v>
      </c>
      <c r="E2" s="5">
        <v>2023</v>
      </c>
      <c r="F2" s="5">
        <v>2024</v>
      </c>
      <c r="G2" s="5">
        <v>2025</v>
      </c>
      <c r="H2" s="5">
        <v>2026</v>
      </c>
      <c r="I2" s="5">
        <v>2027</v>
      </c>
      <c r="J2" s="5">
        <v>2028</v>
      </c>
      <c r="K2" s="5">
        <v>2029</v>
      </c>
    </row>
    <row r="3" spans="1:11" x14ac:dyDescent="0.3">
      <c r="A3" s="13"/>
      <c r="B3" s="5"/>
      <c r="C3" s="5"/>
      <c r="D3" s="5"/>
      <c r="E3" s="5"/>
      <c r="F3" s="5"/>
      <c r="G3" s="5"/>
      <c r="H3" s="5"/>
      <c r="I3" s="5"/>
      <c r="J3" s="5"/>
      <c r="K3" s="5"/>
    </row>
    <row r="5" spans="1:11" x14ac:dyDescent="0.3">
      <c r="A5" s="14" t="s">
        <v>1</v>
      </c>
      <c r="B5" s="15">
        <f>Actuals!B3</f>
        <v>1000000</v>
      </c>
      <c r="C5" s="15">
        <f>Actuals!C3</f>
        <v>1260000</v>
      </c>
      <c r="D5" s="15">
        <f>Actuals!D3</f>
        <v>1404000</v>
      </c>
      <c r="E5" s="15">
        <f>Actuals!E3</f>
        <v>1736000</v>
      </c>
      <c r="F5" s="15">
        <f>Actuals!F3</f>
        <v>2070000</v>
      </c>
      <c r="G5" s="16">
        <f>F5*(1+Inputs!G3)</f>
        <v>2401200</v>
      </c>
      <c r="H5" s="16">
        <f>G5*(1+Inputs!H3)</f>
        <v>2833416</v>
      </c>
      <c r="I5" s="16">
        <f>H5*(1+Inputs!I3)</f>
        <v>3400099.1999999997</v>
      </c>
      <c r="J5" s="16">
        <f>I5*(1+Inputs!J3)</f>
        <v>4148121.0239999997</v>
      </c>
      <c r="K5" s="16">
        <f>J5*(1+Inputs!K3)</f>
        <v>5143670.0697599994</v>
      </c>
    </row>
    <row r="6" spans="1:11" x14ac:dyDescent="0.3">
      <c r="A6" s="17" t="s">
        <v>43</v>
      </c>
      <c r="B6" s="30">
        <v>0</v>
      </c>
      <c r="C6" s="18">
        <f t="shared" ref="C6:K6" si="0">C5/B5-1</f>
        <v>0.26</v>
      </c>
      <c r="D6" s="18">
        <f t="shared" si="0"/>
        <v>0.11428571428571432</v>
      </c>
      <c r="E6" s="18">
        <f t="shared" si="0"/>
        <v>0.23646723646723644</v>
      </c>
      <c r="F6" s="18">
        <f t="shared" si="0"/>
        <v>0.19239631336405538</v>
      </c>
      <c r="G6" s="18">
        <f t="shared" si="0"/>
        <v>0.15999999999999992</v>
      </c>
      <c r="H6" s="18">
        <f t="shared" si="0"/>
        <v>0.17999999999999994</v>
      </c>
      <c r="I6" s="18">
        <f t="shared" si="0"/>
        <v>0.19999999999999996</v>
      </c>
      <c r="J6" s="18">
        <f t="shared" si="0"/>
        <v>0.21999999999999997</v>
      </c>
      <c r="K6" s="18">
        <f t="shared" si="0"/>
        <v>0.24</v>
      </c>
    </row>
    <row r="7" spans="1:11" x14ac:dyDescent="0.3">
      <c r="A7" s="17"/>
      <c r="B7" s="30"/>
      <c r="C7" s="18"/>
      <c r="D7" s="18"/>
      <c r="E7" s="18"/>
      <c r="F7" s="18"/>
      <c r="G7" s="18"/>
      <c r="H7" s="18"/>
      <c r="I7" s="18"/>
      <c r="J7" s="18"/>
      <c r="K7" s="18"/>
    </row>
    <row r="8" spans="1:11" x14ac:dyDescent="0.3">
      <c r="A8" s="14" t="s">
        <v>2</v>
      </c>
      <c r="B8" s="32">
        <f>-Actuals!B4</f>
        <v>-400000</v>
      </c>
      <c r="C8" s="15">
        <f>-Actuals!C4</f>
        <v>-300000</v>
      </c>
      <c r="D8" s="15">
        <f>-Actuals!D4</f>
        <v>-600000</v>
      </c>
      <c r="E8" s="15">
        <f>-Actuals!E4</f>
        <v>-700000</v>
      </c>
      <c r="F8" s="15">
        <f>-Actuals!F4</f>
        <v>-900000</v>
      </c>
      <c r="G8" s="16">
        <f>-G5*Inputs!G4</f>
        <v>-840420</v>
      </c>
      <c r="H8" s="16">
        <f>-H5*Inputs!H4</f>
        <v>-991695.6</v>
      </c>
      <c r="I8" s="16">
        <f>-I5*Inputs!I4</f>
        <v>-1190034.7199999997</v>
      </c>
      <c r="J8" s="16">
        <f>-J5*Inputs!J4</f>
        <v>-1451842.3583999998</v>
      </c>
      <c r="K8" s="16">
        <f>-K5*Inputs!K4</f>
        <v>-1800284.5244159997</v>
      </c>
    </row>
    <row r="9" spans="1:11" x14ac:dyDescent="0.3">
      <c r="A9" s="14" t="s">
        <v>44</v>
      </c>
      <c r="B9" s="18">
        <f t="shared" ref="B9:K9" si="1">ABS(B8)/B5</f>
        <v>0.4</v>
      </c>
      <c r="C9" s="18">
        <f t="shared" si="1"/>
        <v>0.23809523809523808</v>
      </c>
      <c r="D9" s="18">
        <f t="shared" si="1"/>
        <v>0.42735042735042733</v>
      </c>
      <c r="E9" s="18">
        <f t="shared" si="1"/>
        <v>0.40322580645161288</v>
      </c>
      <c r="F9" s="18">
        <f t="shared" si="1"/>
        <v>0.43478260869565216</v>
      </c>
      <c r="G9" s="18">
        <f t="shared" si="1"/>
        <v>0.35</v>
      </c>
      <c r="H9" s="18">
        <f t="shared" si="1"/>
        <v>0.35</v>
      </c>
      <c r="I9" s="18">
        <f t="shared" si="1"/>
        <v>0.35</v>
      </c>
      <c r="J9" s="18">
        <f t="shared" si="1"/>
        <v>0.35</v>
      </c>
      <c r="K9" s="18">
        <f t="shared" si="1"/>
        <v>0.35</v>
      </c>
    </row>
    <row r="10" spans="1:11" x14ac:dyDescent="0.3">
      <c r="A10" s="14"/>
      <c r="B10" s="18"/>
      <c r="C10" s="18"/>
      <c r="D10" s="18"/>
      <c r="E10" s="18"/>
      <c r="F10" s="18"/>
      <c r="G10" s="18"/>
      <c r="H10" s="18"/>
      <c r="I10" s="18"/>
      <c r="J10" s="18"/>
      <c r="K10" s="18"/>
    </row>
    <row r="11" spans="1:11" x14ac:dyDescent="0.3">
      <c r="A11" s="6" t="s">
        <v>45</v>
      </c>
      <c r="B11" s="19">
        <f t="shared" ref="B11:K11" si="2">B5+B8</f>
        <v>600000</v>
      </c>
      <c r="C11" s="19">
        <f t="shared" si="2"/>
        <v>960000</v>
      </c>
      <c r="D11" s="19">
        <f t="shared" si="2"/>
        <v>804000</v>
      </c>
      <c r="E11" s="19">
        <f t="shared" si="2"/>
        <v>1036000</v>
      </c>
      <c r="F11" s="19">
        <f t="shared" si="2"/>
        <v>1170000</v>
      </c>
      <c r="G11" s="19">
        <f t="shared" si="2"/>
        <v>1560780</v>
      </c>
      <c r="H11" s="19">
        <f t="shared" si="2"/>
        <v>1841720.4</v>
      </c>
      <c r="I11" s="19">
        <f t="shared" si="2"/>
        <v>2210064.48</v>
      </c>
      <c r="J11" s="19">
        <f t="shared" si="2"/>
        <v>2696278.6655999999</v>
      </c>
      <c r="K11" s="19">
        <f t="shared" si="2"/>
        <v>3343385.5453439998</v>
      </c>
    </row>
    <row r="12" spans="1:11" x14ac:dyDescent="0.3">
      <c r="A12" s="6" t="s">
        <v>46</v>
      </c>
      <c r="B12" s="18">
        <f t="shared" ref="B12:K12" si="3">B11/B5</f>
        <v>0.6</v>
      </c>
      <c r="C12" s="18">
        <f t="shared" si="3"/>
        <v>0.76190476190476186</v>
      </c>
      <c r="D12" s="18">
        <f t="shared" si="3"/>
        <v>0.57264957264957261</v>
      </c>
      <c r="E12" s="18">
        <f t="shared" si="3"/>
        <v>0.59677419354838712</v>
      </c>
      <c r="F12" s="18">
        <f t="shared" si="3"/>
        <v>0.56521739130434778</v>
      </c>
      <c r="G12" s="18">
        <f t="shared" si="3"/>
        <v>0.65</v>
      </c>
      <c r="H12" s="18">
        <f t="shared" si="3"/>
        <v>0.65</v>
      </c>
      <c r="I12" s="18">
        <f t="shared" si="3"/>
        <v>0.65</v>
      </c>
      <c r="J12" s="18">
        <f t="shared" si="3"/>
        <v>0.65</v>
      </c>
      <c r="K12" s="18">
        <f t="shared" si="3"/>
        <v>0.65</v>
      </c>
    </row>
    <row r="13" spans="1:11" x14ac:dyDescent="0.3">
      <c r="A13" s="6"/>
      <c r="B13" s="18"/>
      <c r="C13" s="18"/>
      <c r="D13" s="18"/>
      <c r="E13" s="18"/>
      <c r="F13" s="18"/>
      <c r="G13" s="18"/>
      <c r="H13" s="18"/>
      <c r="I13" s="18"/>
      <c r="J13" s="18"/>
      <c r="K13" s="18"/>
    </row>
    <row r="14" spans="1:11" x14ac:dyDescent="0.3">
      <c r="A14" s="14" t="s">
        <v>3</v>
      </c>
      <c r="B14" s="15">
        <f>-Actuals!B6</f>
        <v>-80000</v>
      </c>
      <c r="C14" s="15">
        <f>-Actuals!C6</f>
        <v>-80000</v>
      </c>
      <c r="D14" s="15">
        <f>-Actuals!D6</f>
        <v>-95000</v>
      </c>
      <c r="E14" s="15">
        <f>-Actuals!E6</f>
        <v>-105000</v>
      </c>
      <c r="F14" s="15">
        <f>-Actuals!F6</f>
        <v>-110000</v>
      </c>
      <c r="G14" s="16">
        <f>-G5*Inputs!G5</f>
        <v>-168084.00000000003</v>
      </c>
      <c r="H14" s="16">
        <f>-H5*Inputs!H5</f>
        <v>-198339.12000000002</v>
      </c>
      <c r="I14" s="16">
        <f>-I5*Inputs!I5</f>
        <v>-238006.94399999999</v>
      </c>
      <c r="J14" s="16">
        <f>-J5*Inputs!J5</f>
        <v>-290368.47168000002</v>
      </c>
      <c r="K14" s="16">
        <f>-K5*Inputs!K5</f>
        <v>-360056.90488320001</v>
      </c>
    </row>
    <row r="15" spans="1:11" x14ac:dyDescent="0.3">
      <c r="A15" s="14" t="s">
        <v>4</v>
      </c>
      <c r="B15" s="15">
        <f>-Actuals!B7</f>
        <v>-50000</v>
      </c>
      <c r="C15" s="15">
        <f>-Actuals!C7</f>
        <v>-60000</v>
      </c>
      <c r="D15" s="15">
        <f>-Actuals!D7</f>
        <v>-65000</v>
      </c>
      <c r="E15" s="15">
        <f>-Actuals!E7</f>
        <v>-70000</v>
      </c>
      <c r="F15" s="15">
        <f>-Actuals!F7</f>
        <v>-85000</v>
      </c>
      <c r="G15" s="16">
        <f>-G5*Inputs!G6</f>
        <v>-120060</v>
      </c>
      <c r="H15" s="16">
        <f>-H5*Inputs!H6</f>
        <v>-141670.80000000002</v>
      </c>
      <c r="I15" s="16">
        <f>-I5*Inputs!I6</f>
        <v>-170004.96</v>
      </c>
      <c r="J15" s="16">
        <f>-J5*Inputs!J6</f>
        <v>-207406.05119999999</v>
      </c>
      <c r="K15" s="16">
        <f>-K5*Inputs!K6</f>
        <v>-257183.50348799999</v>
      </c>
    </row>
    <row r="16" spans="1:11" x14ac:dyDescent="0.3">
      <c r="A16" s="14" t="s">
        <v>6</v>
      </c>
      <c r="B16" s="15">
        <f>-Actuals!B9</f>
        <v>-120000</v>
      </c>
      <c r="C16" s="15">
        <f>-Actuals!C9</f>
        <v>-110000</v>
      </c>
      <c r="D16" s="15">
        <f>-Actuals!D9</f>
        <v>-135000</v>
      </c>
      <c r="E16" s="15">
        <f>-Actuals!E9</f>
        <v>-155000</v>
      </c>
      <c r="F16" s="15">
        <f>-Actuals!F9</f>
        <v>-165000</v>
      </c>
      <c r="G16" s="16">
        <f>-G5*Inputs!G7</f>
        <v>-264132</v>
      </c>
      <c r="H16" s="16">
        <f>-H5*Inputs!H7</f>
        <v>-311675.76</v>
      </c>
      <c r="I16" s="16">
        <f>-I5*Inputs!I7</f>
        <v>-374010.91199999995</v>
      </c>
      <c r="J16" s="16">
        <f>-J5*Inputs!J7</f>
        <v>-456293.31263999996</v>
      </c>
      <c r="K16" s="16">
        <f>-K5*Inputs!K7</f>
        <v>-565803.70767359994</v>
      </c>
    </row>
    <row r="17" spans="1:11" x14ac:dyDescent="0.3">
      <c r="A17" s="6" t="s">
        <v>47</v>
      </c>
      <c r="B17" s="19">
        <f t="shared" ref="B17:K17" si="4">B5+B8+B14+B15+B16</f>
        <v>350000</v>
      </c>
      <c r="C17" s="19">
        <f t="shared" si="4"/>
        <v>710000</v>
      </c>
      <c r="D17" s="19">
        <f t="shared" si="4"/>
        <v>509000</v>
      </c>
      <c r="E17" s="19">
        <f t="shared" si="4"/>
        <v>706000</v>
      </c>
      <c r="F17" s="19">
        <f t="shared" si="4"/>
        <v>810000</v>
      </c>
      <c r="G17" s="19">
        <f t="shared" si="4"/>
        <v>1008504</v>
      </c>
      <c r="H17" s="19">
        <f t="shared" si="4"/>
        <v>1190034.7199999997</v>
      </c>
      <c r="I17" s="19">
        <f t="shared" si="4"/>
        <v>1428041.6640000001</v>
      </c>
      <c r="J17" s="19">
        <f t="shared" si="4"/>
        <v>1742210.83008</v>
      </c>
      <c r="K17" s="19">
        <f t="shared" si="4"/>
        <v>2160341.4292992</v>
      </c>
    </row>
    <row r="18" spans="1:11" x14ac:dyDescent="0.3">
      <c r="A18" s="26" t="s">
        <v>48</v>
      </c>
      <c r="B18" s="18">
        <f t="shared" ref="B18:K18" si="5">B17/B5</f>
        <v>0.35</v>
      </c>
      <c r="C18" s="18">
        <f t="shared" si="5"/>
        <v>0.56349206349206349</v>
      </c>
      <c r="D18" s="18">
        <f t="shared" si="5"/>
        <v>0.36253561253561256</v>
      </c>
      <c r="E18" s="18">
        <f t="shared" si="5"/>
        <v>0.40668202764976957</v>
      </c>
      <c r="F18" s="18">
        <f t="shared" si="5"/>
        <v>0.39130434782608697</v>
      </c>
      <c r="G18" s="18">
        <f t="shared" si="5"/>
        <v>0.42</v>
      </c>
      <c r="H18" s="18">
        <f t="shared" si="5"/>
        <v>0.41999999999999993</v>
      </c>
      <c r="I18" s="18">
        <f t="shared" si="5"/>
        <v>0.42000000000000004</v>
      </c>
      <c r="J18" s="18">
        <f t="shared" si="5"/>
        <v>0.42000000000000004</v>
      </c>
      <c r="K18" s="18">
        <f t="shared" si="5"/>
        <v>0.42000000000000004</v>
      </c>
    </row>
    <row r="19" spans="1:11" x14ac:dyDescent="0.3">
      <c r="B19" s="18"/>
      <c r="C19" s="18"/>
      <c r="D19" s="18"/>
      <c r="E19" s="18"/>
      <c r="F19" s="18"/>
      <c r="G19" s="18"/>
      <c r="H19" s="18"/>
      <c r="I19" s="18"/>
      <c r="J19" s="18"/>
      <c r="K19" s="18"/>
    </row>
    <row r="20" spans="1:11" x14ac:dyDescent="0.3">
      <c r="A20" s="14" t="s">
        <v>5</v>
      </c>
      <c r="B20" s="15">
        <f>-Actuals!B8</f>
        <v>-58000</v>
      </c>
      <c r="C20" s="15">
        <f>-Actuals!C8</f>
        <v>-63500</v>
      </c>
      <c r="D20" s="15">
        <f>-Actuals!D8</f>
        <v>-70000</v>
      </c>
      <c r="E20" s="15">
        <f>-Actuals!E8</f>
        <v>-77500</v>
      </c>
      <c r="F20" s="15">
        <f>-Actuals!F8</f>
        <v>-85000</v>
      </c>
      <c r="G20" s="15">
        <f>-BS!G26</f>
        <v>-69000</v>
      </c>
      <c r="H20" s="15">
        <f>-BS!H26</f>
        <v>-100606.36003029735</v>
      </c>
      <c r="I20" s="15">
        <f>-BS!I26</f>
        <v>-101731.44895291896</v>
      </c>
      <c r="J20" s="15">
        <f>-BS!J26</f>
        <v>-141073.92182694061</v>
      </c>
      <c r="K20" s="15">
        <f>-BS!K26</f>
        <v>-155148.63052448802</v>
      </c>
    </row>
    <row r="21" spans="1:11" x14ac:dyDescent="0.3">
      <c r="A21" s="26" t="s">
        <v>49</v>
      </c>
      <c r="B21" s="31">
        <f t="shared" ref="B21:K21" si="6">ABS(B20/B5)</f>
        <v>5.8000000000000003E-2</v>
      </c>
      <c r="C21" s="31">
        <f t="shared" si="6"/>
        <v>5.0396825396825398E-2</v>
      </c>
      <c r="D21" s="31">
        <f t="shared" si="6"/>
        <v>4.9857549857549859E-2</v>
      </c>
      <c r="E21" s="31">
        <f t="shared" si="6"/>
        <v>4.4642857142857144E-2</v>
      </c>
      <c r="F21" s="31">
        <f t="shared" si="6"/>
        <v>4.1062801932367152E-2</v>
      </c>
      <c r="G21" s="31">
        <f t="shared" si="6"/>
        <v>2.8735632183908046E-2</v>
      </c>
      <c r="H21" s="31">
        <f t="shared" si="6"/>
        <v>3.5507091097917623E-2</v>
      </c>
      <c r="I21" s="31">
        <f t="shared" si="6"/>
        <v>2.9920141433790806E-2</v>
      </c>
      <c r="J21" s="31">
        <f t="shared" si="6"/>
        <v>3.4009114249734247E-2</v>
      </c>
      <c r="K21" s="31">
        <f t="shared" si="6"/>
        <v>3.0163021426397041E-2</v>
      </c>
    </row>
    <row r="22" spans="1:11" x14ac:dyDescent="0.3">
      <c r="B22" s="31"/>
      <c r="C22" s="31"/>
      <c r="D22" s="31"/>
      <c r="E22" s="31"/>
      <c r="F22" s="31"/>
      <c r="G22" s="31"/>
      <c r="H22" s="31"/>
      <c r="I22" s="31"/>
      <c r="J22" s="31"/>
      <c r="K22" s="31"/>
    </row>
    <row r="23" spans="1:11" x14ac:dyDescent="0.3">
      <c r="A23" s="6" t="s">
        <v>50</v>
      </c>
      <c r="B23" s="19">
        <f t="shared" ref="B23:K23" si="7">B17+B20</f>
        <v>292000</v>
      </c>
      <c r="C23" s="19">
        <f t="shared" si="7"/>
        <v>646500</v>
      </c>
      <c r="D23" s="19">
        <f t="shared" si="7"/>
        <v>439000</v>
      </c>
      <c r="E23" s="19">
        <f t="shared" si="7"/>
        <v>628500</v>
      </c>
      <c r="F23" s="19">
        <f t="shared" si="7"/>
        <v>725000</v>
      </c>
      <c r="G23" s="19">
        <f t="shared" si="7"/>
        <v>939504</v>
      </c>
      <c r="H23" s="19">
        <f t="shared" si="7"/>
        <v>1089428.3599697023</v>
      </c>
      <c r="I23" s="19">
        <f t="shared" si="7"/>
        <v>1326310.2150470812</v>
      </c>
      <c r="J23" s="19">
        <f t="shared" si="7"/>
        <v>1601136.9082530593</v>
      </c>
      <c r="K23" s="19">
        <f t="shared" si="7"/>
        <v>2005192.798774712</v>
      </c>
    </row>
    <row r="24" spans="1:11" x14ac:dyDescent="0.3">
      <c r="A24" s="26" t="s">
        <v>51</v>
      </c>
      <c r="B24" s="20">
        <f t="shared" ref="B24:K24" si="8">B23/B5</f>
        <v>0.29199999999999998</v>
      </c>
      <c r="C24" s="20">
        <f t="shared" si="8"/>
        <v>0.51309523809523805</v>
      </c>
      <c r="D24" s="20">
        <f t="shared" si="8"/>
        <v>0.3126780626780627</v>
      </c>
      <c r="E24" s="20">
        <f t="shared" si="8"/>
        <v>0.36203917050691242</v>
      </c>
      <c r="F24" s="20">
        <f t="shared" si="8"/>
        <v>0.35024154589371981</v>
      </c>
      <c r="G24" s="20">
        <f t="shared" si="8"/>
        <v>0.39126436781609197</v>
      </c>
      <c r="H24" s="20">
        <f t="shared" si="8"/>
        <v>0.38449290890208226</v>
      </c>
      <c r="I24" s="20">
        <f t="shared" si="8"/>
        <v>0.3900798585662093</v>
      </c>
      <c r="J24" s="20">
        <f t="shared" si="8"/>
        <v>0.38599088575026574</v>
      </c>
      <c r="K24" s="20">
        <f t="shared" si="8"/>
        <v>0.389836978573603</v>
      </c>
    </row>
    <row r="25" spans="1:11" x14ac:dyDescent="0.3">
      <c r="B25" s="20"/>
      <c r="C25" s="20"/>
      <c r="D25" s="20"/>
      <c r="E25" s="20"/>
      <c r="F25" s="20"/>
      <c r="G25" s="20"/>
      <c r="H25" s="20"/>
      <c r="I25" s="20"/>
      <c r="J25" s="20"/>
      <c r="K25" s="20"/>
    </row>
    <row r="26" spans="1:11" x14ac:dyDescent="0.3">
      <c r="A26" s="14" t="s">
        <v>7</v>
      </c>
      <c r="B26" s="15">
        <f>-Actuals!B10</f>
        <v>-15000</v>
      </c>
      <c r="C26" s="15">
        <f>-Actuals!C10</f>
        <v>-16000</v>
      </c>
      <c r="D26" s="15">
        <f>-Actuals!D10</f>
        <v>-18000</v>
      </c>
      <c r="E26" s="15">
        <f>-Actuals!E10</f>
        <v>-18500</v>
      </c>
      <c r="F26" s="15">
        <f>-Actuals!F10</f>
        <v>-19000</v>
      </c>
      <c r="G26" s="15">
        <f>-BS!G30</f>
        <v>-27401.361984390394</v>
      </c>
      <c r="H26" s="15">
        <f>-BS!H30</f>
        <v>-32986.141703792644</v>
      </c>
      <c r="I26" s="15">
        <f>-BS!I30</f>
        <v>-39583.370044551179</v>
      </c>
      <c r="J26" s="15">
        <f>-BS!J30</f>
        <v>-48291.711454352429</v>
      </c>
      <c r="K26" s="15">
        <f>-BS!K30</f>
        <v>-59881.72220339701</v>
      </c>
    </row>
    <row r="27" spans="1:11" x14ac:dyDescent="0.3">
      <c r="A27" s="14" t="s">
        <v>52</v>
      </c>
      <c r="B27" s="31">
        <f t="shared" ref="B27:K27" si="9">ABS(B26/B5)</f>
        <v>1.4999999999999999E-2</v>
      </c>
      <c r="C27" s="31">
        <f t="shared" si="9"/>
        <v>1.2698412698412698E-2</v>
      </c>
      <c r="D27" s="31">
        <f t="shared" si="9"/>
        <v>1.282051282051282E-2</v>
      </c>
      <c r="E27" s="31">
        <f t="shared" si="9"/>
        <v>1.065668202764977E-2</v>
      </c>
      <c r="F27" s="31">
        <f t="shared" si="9"/>
        <v>9.1787439613526568E-3</v>
      </c>
      <c r="G27" s="31">
        <f t="shared" si="9"/>
        <v>1.1411528395964682E-2</v>
      </c>
      <c r="H27" s="31">
        <f t="shared" si="9"/>
        <v>1.1641827992710086E-2</v>
      </c>
      <c r="I27" s="31">
        <f t="shared" si="9"/>
        <v>1.164182799271009E-2</v>
      </c>
      <c r="J27" s="31">
        <f t="shared" si="9"/>
        <v>1.1641827992710088E-2</v>
      </c>
      <c r="K27" s="31">
        <f t="shared" si="9"/>
        <v>1.1641827992710088E-2</v>
      </c>
    </row>
    <row r="28" spans="1:11" x14ac:dyDescent="0.3">
      <c r="A28" s="14"/>
      <c r="B28" s="31"/>
      <c r="C28" s="31"/>
      <c r="D28" s="31"/>
      <c r="E28" s="31"/>
      <c r="F28" s="31"/>
      <c r="G28" s="31"/>
      <c r="H28" s="31"/>
      <c r="I28" s="31"/>
      <c r="J28" s="31"/>
      <c r="K28" s="31"/>
    </row>
    <row r="29" spans="1:11" x14ac:dyDescent="0.3">
      <c r="A29" s="6" t="s">
        <v>53</v>
      </c>
      <c r="B29" s="19">
        <f t="shared" ref="B29:K29" si="10">B23+B26</f>
        <v>277000</v>
      </c>
      <c r="C29" s="19">
        <f t="shared" si="10"/>
        <v>630500</v>
      </c>
      <c r="D29" s="19">
        <f t="shared" si="10"/>
        <v>421000</v>
      </c>
      <c r="E29" s="19">
        <f t="shared" si="10"/>
        <v>610000</v>
      </c>
      <c r="F29" s="19">
        <f t="shared" si="10"/>
        <v>706000</v>
      </c>
      <c r="G29" s="19">
        <f t="shared" si="10"/>
        <v>912102.63801560958</v>
      </c>
      <c r="H29" s="19">
        <f t="shared" si="10"/>
        <v>1056442.2182659097</v>
      </c>
      <c r="I29" s="19">
        <f t="shared" si="10"/>
        <v>1286726.8450025301</v>
      </c>
      <c r="J29" s="19">
        <f t="shared" si="10"/>
        <v>1552845.1967987069</v>
      </c>
      <c r="K29" s="19">
        <f t="shared" si="10"/>
        <v>1945311.0765713151</v>
      </c>
    </row>
    <row r="30" spans="1:11" x14ac:dyDescent="0.3">
      <c r="A30" s="14" t="s">
        <v>54</v>
      </c>
      <c r="B30" s="16">
        <f>-MAX(0,B29)*Inputs!B10</f>
        <v>-69250</v>
      </c>
      <c r="C30" s="16">
        <f>-MAX(0,C29)*Inputs!C10</f>
        <v>-157625</v>
      </c>
      <c r="D30" s="16">
        <f>-MAX(0,D29)*Inputs!D10</f>
        <v>-105250</v>
      </c>
      <c r="E30" s="16">
        <f>-MAX(0,E29)*Inputs!E10</f>
        <v>-152500</v>
      </c>
      <c r="F30" s="16">
        <f>-MAX(0,F29)*Inputs!F10</f>
        <v>-176500</v>
      </c>
      <c r="G30" s="16">
        <f>-MAX(0,G29)*Inputs!G10</f>
        <v>-228025.6595039024</v>
      </c>
      <c r="H30" s="16">
        <f>-MAX(0,H29)*Inputs!H10</f>
        <v>-264110.55456647743</v>
      </c>
      <c r="I30" s="16">
        <f>-MAX(0,I29)*Inputs!I10</f>
        <v>-321681.71125063254</v>
      </c>
      <c r="J30" s="16">
        <f>-MAX(0,J29)*Inputs!J10</f>
        <v>-388211.29919967672</v>
      </c>
      <c r="K30" s="16">
        <f>-MAX(0,K29)*Inputs!K10</f>
        <v>-486327.76914282877</v>
      </c>
    </row>
    <row r="31" spans="1:11" x14ac:dyDescent="0.3">
      <c r="A31" s="14" t="s">
        <v>55</v>
      </c>
      <c r="B31" s="21">
        <f t="shared" ref="B31:K31" si="11">IF(B29&lt;=0,"-",ABS(B30)/B29)</f>
        <v>0.25</v>
      </c>
      <c r="C31" s="21">
        <f t="shared" si="11"/>
        <v>0.25</v>
      </c>
      <c r="D31" s="21">
        <f t="shared" si="11"/>
        <v>0.25</v>
      </c>
      <c r="E31" s="21">
        <f t="shared" si="11"/>
        <v>0.25</v>
      </c>
      <c r="F31" s="21">
        <f t="shared" si="11"/>
        <v>0.25</v>
      </c>
      <c r="G31" s="21">
        <f t="shared" si="11"/>
        <v>0.25</v>
      </c>
      <c r="H31" s="21">
        <f t="shared" si="11"/>
        <v>0.25</v>
      </c>
      <c r="I31" s="21">
        <f t="shared" si="11"/>
        <v>0.25</v>
      </c>
      <c r="J31" s="21">
        <f t="shared" si="11"/>
        <v>0.25</v>
      </c>
      <c r="K31" s="21">
        <f t="shared" si="11"/>
        <v>0.25</v>
      </c>
    </row>
    <row r="32" spans="1:11" x14ac:dyDescent="0.3">
      <c r="A32" s="6" t="s">
        <v>56</v>
      </c>
      <c r="B32" s="19">
        <f t="shared" ref="B32:K32" si="12">B29+B30</f>
        <v>207750</v>
      </c>
      <c r="C32" s="19">
        <f t="shared" si="12"/>
        <v>472875</v>
      </c>
      <c r="D32" s="19">
        <f t="shared" si="12"/>
        <v>315750</v>
      </c>
      <c r="E32" s="19">
        <f t="shared" si="12"/>
        <v>457500</v>
      </c>
      <c r="F32" s="19">
        <f t="shared" si="12"/>
        <v>529500</v>
      </c>
      <c r="G32" s="19">
        <f t="shared" si="12"/>
        <v>684076.97851170716</v>
      </c>
      <c r="H32" s="19">
        <f t="shared" si="12"/>
        <v>792331.66369943228</v>
      </c>
      <c r="I32" s="19">
        <f t="shared" si="12"/>
        <v>965045.13375189761</v>
      </c>
      <c r="J32" s="19">
        <f t="shared" si="12"/>
        <v>1164633.8975990303</v>
      </c>
      <c r="K32" s="19">
        <f t="shared" si="12"/>
        <v>1458983.3074284862</v>
      </c>
    </row>
    <row r="33" spans="1:11" x14ac:dyDescent="0.3">
      <c r="A33" s="26" t="s">
        <v>57</v>
      </c>
      <c r="B33" s="22">
        <f t="shared" ref="B33:K33" si="13">B32/B5</f>
        <v>0.20774999999999999</v>
      </c>
      <c r="C33" s="22">
        <f t="shared" si="13"/>
        <v>0.37529761904761905</v>
      </c>
      <c r="D33" s="22">
        <f t="shared" si="13"/>
        <v>0.2248931623931624</v>
      </c>
      <c r="E33" s="22">
        <f t="shared" si="13"/>
        <v>0.26353686635944701</v>
      </c>
      <c r="F33" s="22">
        <f t="shared" si="13"/>
        <v>0.25579710144927537</v>
      </c>
      <c r="G33" s="22">
        <f t="shared" si="13"/>
        <v>0.28488962956509545</v>
      </c>
      <c r="H33" s="22">
        <f t="shared" si="13"/>
        <v>0.27963831068202916</v>
      </c>
      <c r="I33" s="22">
        <f t="shared" si="13"/>
        <v>0.28382852293012439</v>
      </c>
      <c r="J33" s="22">
        <f t="shared" si="13"/>
        <v>0.28076179331816681</v>
      </c>
      <c r="K33" s="22">
        <f t="shared" si="13"/>
        <v>0.28364636293566969</v>
      </c>
    </row>
  </sheetData>
  <sheetProtection algorithmName="SHA-512" hashValue="Nd+C9p1i10CXL1AgXLKzJ30PhWwU+y8fX3lRm3ZnBcXkci0MnV3nrD4rYNfrh1mMdlRBxvr4BBGXMy+DQ2AeOQ==" saltValue="OX4YxkYVeQ8jh+Oxhe9usA==" spinCount="100000" sheet="1" objects="1" scenarios="1"/>
  <mergeCells count="1">
    <mergeCell ref="A1:K1"/>
  </mergeCells>
  <pageMargins left="0.7" right="0.7" top="0.75" bottom="0.75" header="0.3" footer="0.3"/>
  <pageSetup scale="8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0"/>
  <sheetViews>
    <sheetView showGridLines="0" view="pageBreakPreview" zoomScale="60" zoomScaleNormal="85" workbookViewId="0">
      <selection sqref="A1:K1"/>
    </sheetView>
  </sheetViews>
  <sheetFormatPr defaultRowHeight="14.4" x14ac:dyDescent="0.3"/>
  <cols>
    <col min="1" max="1" width="39" customWidth="1"/>
    <col min="2" max="11" width="14" customWidth="1"/>
  </cols>
  <sheetData>
    <row r="1" spans="1:11" x14ac:dyDescent="0.3">
      <c r="A1" s="41" t="s">
        <v>58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1" x14ac:dyDescent="0.3">
      <c r="A2" s="12"/>
      <c r="B2" s="12">
        <v>2020</v>
      </c>
      <c r="C2" s="12">
        <v>2021</v>
      </c>
      <c r="D2" s="12">
        <v>2022</v>
      </c>
      <c r="E2" s="12">
        <v>2023</v>
      </c>
      <c r="F2" s="12">
        <v>2024</v>
      </c>
      <c r="G2" s="12">
        <v>2025</v>
      </c>
      <c r="H2" s="12">
        <v>2026</v>
      </c>
      <c r="I2" s="12">
        <v>2027</v>
      </c>
      <c r="J2" s="12">
        <v>2028</v>
      </c>
      <c r="K2" s="12">
        <v>2029</v>
      </c>
    </row>
    <row r="3" spans="1:11" x14ac:dyDescent="0.3">
      <c r="A3" s="37" t="s">
        <v>59</v>
      </c>
      <c r="B3" s="38"/>
      <c r="C3" s="38"/>
      <c r="D3" s="38"/>
      <c r="E3" s="38"/>
      <c r="F3" s="38"/>
      <c r="G3" s="38"/>
      <c r="H3" s="38"/>
      <c r="I3" s="38"/>
      <c r="J3" s="38"/>
      <c r="K3" s="38"/>
    </row>
    <row r="4" spans="1:11" x14ac:dyDescent="0.3">
      <c r="A4" s="14" t="s">
        <v>8</v>
      </c>
      <c r="B4" s="23">
        <f>Actuals!B12</f>
        <v>60000</v>
      </c>
      <c r="C4" s="23">
        <f>Actuals!C12</f>
        <v>70000</v>
      </c>
      <c r="D4" s="23">
        <f>Actuals!D12</f>
        <v>80000</v>
      </c>
      <c r="E4" s="23">
        <f>Actuals!E12</f>
        <v>95000</v>
      </c>
      <c r="F4" s="23">
        <f>Actuals!F12</f>
        <v>110000</v>
      </c>
      <c r="G4" s="24">
        <f>G8-G5-G6-G7</f>
        <v>213115.31183711428</v>
      </c>
      <c r="H4" s="24">
        <f>H8-H5-H6-H7</f>
        <v>160989.41830721361</v>
      </c>
      <c r="I4" s="24">
        <f>I8-I5-I6-I7</f>
        <v>294394.04406945407</v>
      </c>
      <c r="J4" s="24">
        <f>J8-J5-J6-J7</f>
        <v>268793.9677501797</v>
      </c>
      <c r="K4" s="24">
        <f>K8-K5-K6-K7</f>
        <v>438703.39217028505</v>
      </c>
    </row>
    <row r="5" spans="1:11" x14ac:dyDescent="0.3">
      <c r="A5" s="14" t="s">
        <v>9</v>
      </c>
      <c r="B5" s="23">
        <f>Actuals!B13</f>
        <v>90000</v>
      </c>
      <c r="C5" s="23">
        <f>Actuals!C13</f>
        <v>105000</v>
      </c>
      <c r="D5" s="23">
        <f>Actuals!D13</f>
        <v>120000</v>
      </c>
      <c r="E5" s="23">
        <f>Actuals!E13</f>
        <v>140000</v>
      </c>
      <c r="F5" s="23">
        <f>Actuals!F13</f>
        <v>160000</v>
      </c>
      <c r="G5" s="24">
        <f>IS!G5*Inputs!G14</f>
        <v>194825.31017369727</v>
      </c>
      <c r="H5" s="24">
        <f>IS!H5*Inputs!H14</f>
        <v>229893.86600496279</v>
      </c>
      <c r="I5" s="24">
        <f>IS!I5*Inputs!I14</f>
        <v>275872.63920595532</v>
      </c>
      <c r="J5" s="24">
        <f>IS!J5*Inputs!J14</f>
        <v>336564.61983126553</v>
      </c>
      <c r="K5" s="24">
        <f>IS!K5*Inputs!K14</f>
        <v>417340.12859076925</v>
      </c>
    </row>
    <row r="6" spans="1:11" x14ac:dyDescent="0.3">
      <c r="A6" s="14" t="s">
        <v>10</v>
      </c>
      <c r="B6" s="23">
        <f>Actuals!B14</f>
        <v>80000</v>
      </c>
      <c r="C6" s="23">
        <f>Actuals!C14</f>
        <v>90000</v>
      </c>
      <c r="D6" s="23">
        <f>Actuals!D14</f>
        <v>100000</v>
      </c>
      <c r="E6" s="23">
        <f>Actuals!E14</f>
        <v>110000</v>
      </c>
      <c r="F6" s="23">
        <f>Actuals!F14</f>
        <v>120000</v>
      </c>
      <c r="G6" s="24">
        <f>ABS(IS!G8)*Inputs!G15</f>
        <v>128063.99999999999</v>
      </c>
      <c r="H6" s="24">
        <f>ABS(IS!H8)*Inputs!H15</f>
        <v>151115.51999999999</v>
      </c>
      <c r="I6" s="24">
        <f>ABS(IS!I8)*Inputs!I15</f>
        <v>181338.62399999995</v>
      </c>
      <c r="J6" s="24">
        <f>ABS(IS!J8)*Inputs!J15</f>
        <v>221233.12127999993</v>
      </c>
      <c r="K6" s="24">
        <f>ABS(IS!K8)*Inputs!K15</f>
        <v>274329.07038719993</v>
      </c>
    </row>
    <row r="7" spans="1:11" x14ac:dyDescent="0.3">
      <c r="A7" s="26" t="s">
        <v>60</v>
      </c>
      <c r="B7" s="33">
        <v>0</v>
      </c>
      <c r="C7" s="33">
        <v>0</v>
      </c>
      <c r="D7" s="33">
        <v>0</v>
      </c>
      <c r="E7" s="33">
        <v>0</v>
      </c>
      <c r="F7" s="33">
        <v>0</v>
      </c>
      <c r="G7">
        <f>IS!G5*Inputs!G20</f>
        <v>0</v>
      </c>
      <c r="H7">
        <f>IS!H5*Inputs!H20</f>
        <v>0</v>
      </c>
      <c r="I7">
        <f>IS!I5*Inputs!I20</f>
        <v>0</v>
      </c>
      <c r="J7">
        <f>IS!J5*Inputs!J20</f>
        <v>0</v>
      </c>
      <c r="K7">
        <f>IS!K5*Inputs!K20</f>
        <v>0</v>
      </c>
    </row>
    <row r="8" spans="1:11" x14ac:dyDescent="0.3">
      <c r="A8" s="6" t="s">
        <v>11</v>
      </c>
      <c r="B8" s="23">
        <f>Actuals!B15</f>
        <v>230000</v>
      </c>
      <c r="C8" s="23">
        <f>Actuals!C15</f>
        <v>265000</v>
      </c>
      <c r="D8" s="23">
        <f>Actuals!D15</f>
        <v>300000</v>
      </c>
      <c r="E8" s="23">
        <f>Actuals!E15</f>
        <v>345000</v>
      </c>
      <c r="F8" s="23">
        <f>Actuals!F15</f>
        <v>390000</v>
      </c>
      <c r="G8" s="24">
        <f>G10-G9</f>
        <v>536004.62201081158</v>
      </c>
      <c r="H8" s="24">
        <f>H10-H9</f>
        <v>541998.80431217642</v>
      </c>
      <c r="I8" s="24">
        <f>I10-I9</f>
        <v>751605.30727540934</v>
      </c>
      <c r="J8" s="24">
        <f>J10-J9</f>
        <v>826591.70886144519</v>
      </c>
      <c r="K8" s="24">
        <f>K10-K9</f>
        <v>1130372.5911482542</v>
      </c>
    </row>
    <row r="9" spans="1:11" x14ac:dyDescent="0.3">
      <c r="A9" s="14" t="s">
        <v>12</v>
      </c>
      <c r="B9" s="23">
        <f>Actuals!B16</f>
        <v>350000</v>
      </c>
      <c r="C9" s="23">
        <f>Actuals!C16</f>
        <v>370000</v>
      </c>
      <c r="D9" s="23">
        <f>Actuals!D16</f>
        <v>400000</v>
      </c>
      <c r="E9" s="23">
        <f>Actuals!E16</f>
        <v>430000</v>
      </c>
      <c r="F9" s="23">
        <f>Actuals!F16</f>
        <v>460000</v>
      </c>
      <c r="G9" s="24">
        <f>G10*Inputs!G17</f>
        <v>670709.06686864898</v>
      </c>
      <c r="H9" s="24">
        <f>H10*Inputs!H17</f>
        <v>678209.6596861264</v>
      </c>
      <c r="I9" s="24">
        <f>I10*Inputs!I17</f>
        <v>940492.81217960408</v>
      </c>
      <c r="J9" s="24">
        <f>J10*Inputs!J17</f>
        <v>1034324.2034965869</v>
      </c>
      <c r="K9" s="24">
        <f>K10*Inputs!K17</f>
        <v>1414448.8959418896</v>
      </c>
    </row>
    <row r="10" spans="1:11" x14ac:dyDescent="0.3">
      <c r="A10" s="6" t="s">
        <v>13</v>
      </c>
      <c r="B10" s="23">
        <f>Actuals!B17</f>
        <v>580000</v>
      </c>
      <c r="C10" s="23">
        <f>Actuals!C17</f>
        <v>635000</v>
      </c>
      <c r="D10" s="23">
        <f>Actuals!D17</f>
        <v>700000</v>
      </c>
      <c r="E10" s="23">
        <f>Actuals!E17</f>
        <v>775000</v>
      </c>
      <c r="F10" s="23">
        <f>Actuals!F17</f>
        <v>850000</v>
      </c>
      <c r="G10" s="24">
        <f>2*(IS!G5/Inputs!G13)-F10</f>
        <v>1206713.6888794606</v>
      </c>
      <c r="H10" s="24">
        <f>2*(IS!H5/Inputs!H13)-G10</f>
        <v>1220208.4639983028</v>
      </c>
      <c r="I10" s="24">
        <f>2*(IS!I5/Inputs!I13)-H10</f>
        <v>1692098.1194550134</v>
      </c>
      <c r="J10" s="24">
        <f>2*(IS!J5/Inputs!J13)-I10</f>
        <v>1860915.9123580321</v>
      </c>
      <c r="K10" s="24">
        <f>2*(IS!K5/Inputs!K13)-J10</f>
        <v>2544821.4870901438</v>
      </c>
    </row>
    <row r="12" spans="1:11" x14ac:dyDescent="0.3">
      <c r="A12" s="37" t="s">
        <v>61</v>
      </c>
      <c r="B12" s="38"/>
      <c r="C12" s="38"/>
      <c r="D12" s="38"/>
      <c r="E12" s="38"/>
      <c r="F12" s="38"/>
      <c r="G12" s="38"/>
      <c r="H12" s="38"/>
      <c r="I12" s="38"/>
      <c r="J12" s="38"/>
      <c r="K12" s="38"/>
    </row>
    <row r="13" spans="1:11" x14ac:dyDescent="0.3">
      <c r="A13" s="14" t="s">
        <v>14</v>
      </c>
      <c r="B13" s="23">
        <f>Actuals!B18</f>
        <v>70000</v>
      </c>
      <c r="C13" s="23">
        <f>Actuals!C18</f>
        <v>80000</v>
      </c>
      <c r="D13" s="23">
        <f>Actuals!D18</f>
        <v>90000</v>
      </c>
      <c r="E13" s="23">
        <f>Actuals!E18</f>
        <v>100000</v>
      </c>
      <c r="F13" s="23">
        <f>Actuals!F18</f>
        <v>110000</v>
      </c>
      <c r="G13" s="24">
        <f>ABS(IS!G8)*Inputs!G16</f>
        <v>116280.33333333333</v>
      </c>
      <c r="H13" s="24">
        <f>ABS(IS!H8)*Inputs!H16</f>
        <v>137210.79333333331</v>
      </c>
      <c r="I13" s="24">
        <f>ABS(IS!I8)*Inputs!I16</f>
        <v>164652.95199999996</v>
      </c>
      <c r="J13" s="24">
        <f>ABS(IS!J8)*Inputs!J16</f>
        <v>200876.60143999997</v>
      </c>
      <c r="K13" s="24">
        <f>ABS(IS!K8)*Inputs!K16</f>
        <v>249086.98578559994</v>
      </c>
    </row>
    <row r="14" spans="1:11" x14ac:dyDescent="0.3">
      <c r="A14" s="26" t="s">
        <v>62</v>
      </c>
      <c r="B14" s="33">
        <v>0</v>
      </c>
      <c r="C14" s="33">
        <v>0</v>
      </c>
      <c r="D14" s="33">
        <v>0</v>
      </c>
      <c r="E14" s="33">
        <v>0</v>
      </c>
      <c r="F14" s="33">
        <v>0</v>
      </c>
      <c r="G14">
        <f>IS!G5*Inputs!G21</f>
        <v>0</v>
      </c>
      <c r="H14">
        <f>IS!H5*Inputs!H21</f>
        <v>0</v>
      </c>
      <c r="I14">
        <f>IS!I5*Inputs!I21</f>
        <v>0</v>
      </c>
      <c r="J14">
        <f>IS!J5*Inputs!J21</f>
        <v>0</v>
      </c>
      <c r="K14">
        <f>IS!K5*Inputs!K21</f>
        <v>0</v>
      </c>
    </row>
    <row r="15" spans="1:11" x14ac:dyDescent="0.3">
      <c r="A15" s="14" t="s">
        <v>15</v>
      </c>
      <c r="B15" s="23">
        <f>Actuals!B19</f>
        <v>20000</v>
      </c>
      <c r="C15" s="23">
        <f>Actuals!C19</f>
        <v>25000</v>
      </c>
      <c r="D15" s="23">
        <f>Actuals!D19</f>
        <v>30000</v>
      </c>
      <c r="E15" s="23">
        <f>Actuals!E19</f>
        <v>35000</v>
      </c>
      <c r="F15" s="23">
        <f>Actuals!F19</f>
        <v>40000</v>
      </c>
      <c r="G15" s="24">
        <f>G16-G13-G14</f>
        <v>93725.139223081307</v>
      </c>
      <c r="H15" s="24">
        <f>H16-H13-H14</f>
        <v>75143.187118526374</v>
      </c>
      <c r="I15" s="24">
        <f>I16-I13-I14</f>
        <v>129824.41115806959</v>
      </c>
      <c r="J15" s="24">
        <f>J16-J13-J14</f>
        <v>122980.27460604408</v>
      </c>
      <c r="K15" s="24">
        <f>K16-K13-K14</f>
        <v>193790.59478145678</v>
      </c>
    </row>
    <row r="16" spans="1:11" x14ac:dyDescent="0.3">
      <c r="A16" s="6" t="s">
        <v>16</v>
      </c>
      <c r="B16" s="23">
        <f>Actuals!B20</f>
        <v>90000</v>
      </c>
      <c r="C16" s="23">
        <f>Actuals!C20</f>
        <v>105000</v>
      </c>
      <c r="D16" s="23">
        <f>Actuals!D20</f>
        <v>120000</v>
      </c>
      <c r="E16" s="23">
        <f>Actuals!E20</f>
        <v>135000</v>
      </c>
      <c r="F16" s="23">
        <f>Actuals!F20</f>
        <v>150000</v>
      </c>
      <c r="G16" s="24">
        <f>G10*Inputs!G18</f>
        <v>210005.47255641464</v>
      </c>
      <c r="H16" s="24">
        <f>H10*Inputs!H18</f>
        <v>212353.98045185968</v>
      </c>
      <c r="I16" s="24">
        <f>I10*Inputs!I18</f>
        <v>294477.36315806955</v>
      </c>
      <c r="J16" s="24">
        <f>J10*Inputs!J18</f>
        <v>323856.87604604405</v>
      </c>
      <c r="K16" s="24">
        <f>K10*Inputs!K18</f>
        <v>442877.58056705672</v>
      </c>
    </row>
    <row r="17" spans="1:11" x14ac:dyDescent="0.3">
      <c r="A17" s="14" t="s">
        <v>17</v>
      </c>
      <c r="B17" s="23">
        <f>Actuals!B21</f>
        <v>160000</v>
      </c>
      <c r="C17" s="23">
        <f>Actuals!C21</f>
        <v>180000</v>
      </c>
      <c r="D17" s="23">
        <f>Actuals!D21</f>
        <v>200000</v>
      </c>
      <c r="E17" s="23">
        <f>Actuals!E21</f>
        <v>210000</v>
      </c>
      <c r="F17" s="23">
        <f>Actuals!F21</f>
        <v>220000</v>
      </c>
      <c r="G17" s="24">
        <f>G18-G16</f>
        <v>328027.23968780786</v>
      </c>
      <c r="H17" s="24">
        <f>H18-H16</f>
        <v>331695.59438804502</v>
      </c>
      <c r="I17" s="24">
        <f>I18-I16</f>
        <v>459971.80650297843</v>
      </c>
      <c r="J17" s="24">
        <f>J18-J16</f>
        <v>505862.42258407013</v>
      </c>
      <c r="K17" s="24">
        <f>K18-K16</f>
        <v>691772.02148386999</v>
      </c>
    </row>
    <row r="18" spans="1:11" x14ac:dyDescent="0.3">
      <c r="A18" s="6" t="s">
        <v>63</v>
      </c>
      <c r="B18" s="23">
        <f>Actuals!B17-Actuals!B22</f>
        <v>250000</v>
      </c>
      <c r="C18" s="23">
        <f>Actuals!C17-Actuals!C22</f>
        <v>285000</v>
      </c>
      <c r="D18" s="23">
        <f>Actuals!D17-Actuals!D22</f>
        <v>320000</v>
      </c>
      <c r="E18" s="23">
        <f>Actuals!E17-Actuals!E22</f>
        <v>345000</v>
      </c>
      <c r="F18" s="23">
        <f>Actuals!F17-Actuals!F22</f>
        <v>370000</v>
      </c>
      <c r="G18" s="24">
        <f>G10-G19</f>
        <v>538032.71224422252</v>
      </c>
      <c r="H18" s="24">
        <f>H10-H19</f>
        <v>544049.57483990467</v>
      </c>
      <c r="I18" s="24">
        <f>I10-I19</f>
        <v>754449.16966104798</v>
      </c>
      <c r="J18" s="24">
        <f>J10-J19</f>
        <v>829719.29863011418</v>
      </c>
      <c r="K18" s="24">
        <f>K10-K19</f>
        <v>1134649.6020509268</v>
      </c>
    </row>
    <row r="19" spans="1:11" x14ac:dyDescent="0.3">
      <c r="A19" s="6" t="s">
        <v>18</v>
      </c>
      <c r="B19" s="23">
        <f>Actuals!B22</f>
        <v>330000</v>
      </c>
      <c r="C19" s="23">
        <f>Actuals!C22</f>
        <v>350000</v>
      </c>
      <c r="D19" s="23">
        <f>Actuals!D22</f>
        <v>380000</v>
      </c>
      <c r="E19" s="23">
        <f>Actuals!E22</f>
        <v>430000</v>
      </c>
      <c r="F19" s="23">
        <f>Actuals!F22</f>
        <v>480000</v>
      </c>
      <c r="G19" s="24">
        <f>G10*Inputs!G19</f>
        <v>668680.97663523804</v>
      </c>
      <c r="H19" s="24">
        <f>H10*Inputs!H19</f>
        <v>676158.88915839815</v>
      </c>
      <c r="I19" s="24">
        <f>I10*Inputs!I19</f>
        <v>937648.94979396544</v>
      </c>
      <c r="J19" s="24">
        <f>J10*Inputs!J19</f>
        <v>1031196.6137279179</v>
      </c>
      <c r="K19" s="24">
        <f>K10*Inputs!K19</f>
        <v>1410171.8850392171</v>
      </c>
    </row>
    <row r="20" spans="1:11" x14ac:dyDescent="0.3">
      <c r="A20" s="6" t="s">
        <v>19</v>
      </c>
      <c r="B20" s="23">
        <f>Actuals!B23</f>
        <v>580000</v>
      </c>
      <c r="C20" s="23">
        <f>Actuals!C23</f>
        <v>635000</v>
      </c>
      <c r="D20" s="23">
        <f>Actuals!D23</f>
        <v>700000</v>
      </c>
      <c r="E20" s="23">
        <f>Actuals!E23</f>
        <v>775000</v>
      </c>
      <c r="F20" s="23">
        <f>Actuals!F23</f>
        <v>850000</v>
      </c>
      <c r="G20" s="24">
        <f>G18+G19</f>
        <v>1206713.6888794606</v>
      </c>
      <c r="H20" s="24">
        <f>H18+H19</f>
        <v>1220208.4639983028</v>
      </c>
      <c r="I20" s="24">
        <f>I18+I19</f>
        <v>1692098.1194550134</v>
      </c>
      <c r="J20" s="24">
        <f>J18+J19</f>
        <v>1860915.9123580321</v>
      </c>
      <c r="K20" s="24">
        <f>K18+K19</f>
        <v>2544821.4870901438</v>
      </c>
    </row>
    <row r="23" spans="1:11" x14ac:dyDescent="0.3">
      <c r="A23" s="37" t="s">
        <v>64</v>
      </c>
      <c r="B23" s="38"/>
      <c r="C23" s="38"/>
      <c r="D23" s="38"/>
      <c r="E23" s="38"/>
      <c r="F23" s="38"/>
      <c r="G23" s="38"/>
      <c r="H23" s="38"/>
      <c r="I23" s="38"/>
      <c r="J23" s="38"/>
      <c r="K23" s="38"/>
    </row>
    <row r="24" spans="1:11" x14ac:dyDescent="0.3">
      <c r="A24" s="6" t="s">
        <v>65</v>
      </c>
      <c r="B24" s="24">
        <f>B27</f>
        <v>350000</v>
      </c>
      <c r="C24" s="24">
        <f t="shared" ref="C24:K24" si="0">B27</f>
        <v>350000</v>
      </c>
      <c r="D24" s="24">
        <f t="shared" si="0"/>
        <v>370000</v>
      </c>
      <c r="E24" s="24">
        <f t="shared" si="0"/>
        <v>400000</v>
      </c>
      <c r="F24" s="24">
        <f t="shared" si="0"/>
        <v>430000</v>
      </c>
      <c r="G24" s="24">
        <f t="shared" si="0"/>
        <v>460000</v>
      </c>
      <c r="H24" s="24">
        <f t="shared" si="0"/>
        <v>670709.06686864898</v>
      </c>
      <c r="I24" s="24">
        <f t="shared" si="0"/>
        <v>678209.6596861264</v>
      </c>
      <c r="J24" s="24">
        <f t="shared" si="0"/>
        <v>940492.81217960408</v>
      </c>
      <c r="K24" s="24">
        <f t="shared" si="0"/>
        <v>1034324.2034965869</v>
      </c>
    </row>
    <row r="25" spans="1:11" x14ac:dyDescent="0.3">
      <c r="A25" s="6" t="s">
        <v>66</v>
      </c>
      <c r="B25" s="25">
        <f t="shared" ref="B25:K25" si="1">IF(OR(B24="",B27=""),"",B27-B24+B26)</f>
        <v>58000</v>
      </c>
      <c r="C25" s="25">
        <f t="shared" si="1"/>
        <v>83500</v>
      </c>
      <c r="D25" s="25">
        <f t="shared" si="1"/>
        <v>100000</v>
      </c>
      <c r="E25" s="25">
        <f t="shared" si="1"/>
        <v>107500</v>
      </c>
      <c r="F25" s="25">
        <f t="shared" si="1"/>
        <v>115000</v>
      </c>
      <c r="G25" s="25">
        <f t="shared" si="1"/>
        <v>279709.06686864898</v>
      </c>
      <c r="H25" s="25">
        <f t="shared" si="1"/>
        <v>108106.95284777477</v>
      </c>
      <c r="I25" s="25">
        <f t="shared" si="1"/>
        <v>364014.60144639667</v>
      </c>
      <c r="J25" s="25">
        <f t="shared" si="1"/>
        <v>234905.31314392341</v>
      </c>
      <c r="K25" s="25">
        <f t="shared" si="1"/>
        <v>535273.32296979078</v>
      </c>
    </row>
    <row r="26" spans="1:11" x14ac:dyDescent="0.3">
      <c r="A26" s="6" t="s">
        <v>67</v>
      </c>
      <c r="B26" s="23">
        <f>Actuals!B8</f>
        <v>58000</v>
      </c>
      <c r="C26" s="23">
        <f>Actuals!C8</f>
        <v>63500</v>
      </c>
      <c r="D26" s="23">
        <f>Actuals!D8</f>
        <v>70000</v>
      </c>
      <c r="E26" s="23">
        <f>Actuals!E8</f>
        <v>77500</v>
      </c>
      <c r="F26" s="23">
        <f>Actuals!F8</f>
        <v>85000</v>
      </c>
      <c r="G26" s="25">
        <f>G24*Inputs!G9</f>
        <v>69000</v>
      </c>
      <c r="H26" s="25">
        <f>H24*Inputs!H9</f>
        <v>100606.36003029735</v>
      </c>
      <c r="I26" s="25">
        <f>I24*Inputs!I9</f>
        <v>101731.44895291896</v>
      </c>
      <c r="J26" s="25">
        <f>J24*Inputs!J9</f>
        <v>141073.92182694061</v>
      </c>
      <c r="K26" s="25">
        <f>K24*Inputs!K9</f>
        <v>155148.63052448802</v>
      </c>
    </row>
    <row r="27" spans="1:11" x14ac:dyDescent="0.3">
      <c r="A27" s="6" t="s">
        <v>68</v>
      </c>
      <c r="B27" s="24">
        <f t="shared" ref="B27:K27" si="2">B9</f>
        <v>350000</v>
      </c>
      <c r="C27" s="24">
        <f t="shared" si="2"/>
        <v>370000</v>
      </c>
      <c r="D27" s="24">
        <f t="shared" si="2"/>
        <v>400000</v>
      </c>
      <c r="E27" s="24">
        <f t="shared" si="2"/>
        <v>430000</v>
      </c>
      <c r="F27" s="24">
        <f t="shared" si="2"/>
        <v>460000</v>
      </c>
      <c r="G27" s="24">
        <f t="shared" si="2"/>
        <v>670709.06686864898</v>
      </c>
      <c r="H27" s="24">
        <f t="shared" si="2"/>
        <v>678209.6596861264</v>
      </c>
      <c r="I27" s="24">
        <f t="shared" si="2"/>
        <v>940492.81217960408</v>
      </c>
      <c r="J27" s="24">
        <f t="shared" si="2"/>
        <v>1034324.2034965869</v>
      </c>
      <c r="K27" s="24">
        <f t="shared" si="2"/>
        <v>1414448.8959418896</v>
      </c>
    </row>
    <row r="28" spans="1:11" x14ac:dyDescent="0.3">
      <c r="A28" s="7"/>
      <c r="B28" s="24"/>
      <c r="C28" s="24"/>
      <c r="D28" s="24"/>
      <c r="E28" s="24"/>
      <c r="F28" s="24"/>
      <c r="G28" s="24"/>
      <c r="H28" s="24"/>
      <c r="I28" s="24"/>
      <c r="J28" s="24"/>
      <c r="K28" s="24"/>
    </row>
    <row r="29" spans="1:11" x14ac:dyDescent="0.3">
      <c r="A29" s="6" t="s">
        <v>69</v>
      </c>
      <c r="B29" s="24"/>
      <c r="C29" s="25">
        <f t="shared" ref="C29:K29" si="3">AVERAGE(B17,C17)</f>
        <v>170000</v>
      </c>
      <c r="D29" s="25">
        <f t="shared" si="3"/>
        <v>190000</v>
      </c>
      <c r="E29" s="25">
        <f t="shared" si="3"/>
        <v>205000</v>
      </c>
      <c r="F29" s="25">
        <f t="shared" si="3"/>
        <v>215000</v>
      </c>
      <c r="G29" s="25">
        <f t="shared" si="3"/>
        <v>274013.61984390393</v>
      </c>
      <c r="H29" s="25">
        <f t="shared" si="3"/>
        <v>329861.41703792644</v>
      </c>
      <c r="I29" s="25">
        <f t="shared" si="3"/>
        <v>395833.70044551173</v>
      </c>
      <c r="J29" s="25">
        <f t="shared" si="3"/>
        <v>482917.11454352428</v>
      </c>
      <c r="K29" s="25">
        <f t="shared" si="3"/>
        <v>598817.22203397006</v>
      </c>
    </row>
    <row r="30" spans="1:11" x14ac:dyDescent="0.3">
      <c r="A30" s="6" t="s">
        <v>70</v>
      </c>
      <c r="B30" s="24"/>
      <c r="C30" s="23">
        <f>Actuals!C10</f>
        <v>16000</v>
      </c>
      <c r="D30" s="23">
        <f>Actuals!D10</f>
        <v>18000</v>
      </c>
      <c r="E30" s="23">
        <f>Actuals!E10</f>
        <v>18500</v>
      </c>
      <c r="F30" s="23">
        <f>Actuals!F10</f>
        <v>19000</v>
      </c>
      <c r="G30" s="25">
        <f>G29*Inputs!G8</f>
        <v>27401.361984390394</v>
      </c>
      <c r="H30" s="25">
        <f>H29*Inputs!H8</f>
        <v>32986.141703792644</v>
      </c>
      <c r="I30" s="25">
        <f>I29*Inputs!I8</f>
        <v>39583.370044551179</v>
      </c>
      <c r="J30" s="25">
        <f>J29*Inputs!J8</f>
        <v>48291.711454352429</v>
      </c>
      <c r="K30" s="25">
        <f>K29*Inputs!K8</f>
        <v>59881.72220339701</v>
      </c>
    </row>
  </sheetData>
  <sheetProtection algorithmName="SHA-512" hashValue="HJeHgVccPkuWeTgvG8VqUw/S4H3lBsuWoQscF8O3HGwW1cu55JsNTuh2g/sF6SRhLXVsWs+Jm/vLuMGGgXNcuw==" saltValue="rSUEfEysWgpV+4j5JtGiGQ==" spinCount="100000" sheet="1" objects="1" scenarios="1"/>
  <mergeCells count="4">
    <mergeCell ref="A1:K1"/>
    <mergeCell ref="A23:K23"/>
    <mergeCell ref="A12:K12"/>
    <mergeCell ref="A3:K3"/>
  </mergeCells>
  <pageMargins left="0.7" right="0.7" top="0.75" bottom="0.75" header="0.3" footer="0.3"/>
  <pageSetup scale="8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27"/>
  <sheetViews>
    <sheetView showGridLines="0" view="pageBreakPreview" zoomScale="60" zoomScaleNormal="85" workbookViewId="0">
      <selection activeCell="J30" sqref="J30"/>
    </sheetView>
  </sheetViews>
  <sheetFormatPr defaultRowHeight="14.4" x14ac:dyDescent="0.3"/>
  <cols>
    <col min="1" max="1" width="32" customWidth="1"/>
    <col min="2" max="11" width="14" customWidth="1"/>
  </cols>
  <sheetData>
    <row r="1" spans="1:11" x14ac:dyDescent="0.3">
      <c r="A1" s="41" t="s">
        <v>71</v>
      </c>
      <c r="B1" s="41"/>
      <c r="C1" s="41"/>
      <c r="D1" s="41"/>
      <c r="E1" s="41"/>
      <c r="F1" s="41"/>
      <c r="G1" s="41"/>
      <c r="H1" s="41"/>
      <c r="I1" s="41"/>
      <c r="J1" s="41"/>
      <c r="K1" s="41"/>
    </row>
    <row r="2" spans="1:11" x14ac:dyDescent="0.3">
      <c r="A2" s="5"/>
      <c r="B2" s="12">
        <v>2020</v>
      </c>
      <c r="C2" s="12">
        <v>2021</v>
      </c>
      <c r="D2" s="12">
        <v>2022</v>
      </c>
      <c r="E2" s="12">
        <v>2023</v>
      </c>
      <c r="F2" s="12">
        <v>2024</v>
      </c>
      <c r="G2" s="12">
        <v>2025</v>
      </c>
      <c r="H2" s="12">
        <v>2026</v>
      </c>
      <c r="I2" s="12">
        <v>2027</v>
      </c>
      <c r="J2" s="12">
        <v>2028</v>
      </c>
      <c r="K2" s="12">
        <v>2029</v>
      </c>
    </row>
    <row r="3" spans="1:11" x14ac:dyDescent="0.3">
      <c r="A3" s="37" t="s">
        <v>72</v>
      </c>
      <c r="B3" s="38"/>
      <c r="C3" s="38"/>
      <c r="D3" s="38"/>
      <c r="E3" s="38"/>
      <c r="F3" s="38"/>
      <c r="G3" s="38"/>
      <c r="H3" s="38"/>
      <c r="I3" s="38"/>
      <c r="J3" s="38"/>
      <c r="K3" s="38"/>
    </row>
    <row r="4" spans="1:11" x14ac:dyDescent="0.3">
      <c r="A4" s="14" t="s">
        <v>56</v>
      </c>
      <c r="B4" s="23">
        <f>IS!B32</f>
        <v>207750</v>
      </c>
      <c r="C4" s="23">
        <f>IS!C32</f>
        <v>472875</v>
      </c>
      <c r="D4" s="23">
        <f>IS!D32</f>
        <v>315750</v>
      </c>
      <c r="E4" s="23">
        <f>IS!E32</f>
        <v>457500</v>
      </c>
      <c r="F4" s="23">
        <f>IS!F32</f>
        <v>529500</v>
      </c>
      <c r="G4" s="23">
        <f>IS!G32</f>
        <v>684076.97851170716</v>
      </c>
      <c r="H4" s="23">
        <f>IS!H32</f>
        <v>792331.66369943228</v>
      </c>
      <c r="I4" s="23">
        <f>IS!I32</f>
        <v>965045.13375189761</v>
      </c>
      <c r="J4" s="23">
        <f>IS!J32</f>
        <v>1164633.8975990303</v>
      </c>
      <c r="K4" s="23">
        <f>IS!K32</f>
        <v>1458983.3074284862</v>
      </c>
    </row>
    <row r="5" spans="1:11" x14ac:dyDescent="0.3">
      <c r="A5" s="14" t="s">
        <v>5</v>
      </c>
      <c r="B5" s="23">
        <f>-IS!B20</f>
        <v>58000</v>
      </c>
      <c r="C5" s="23">
        <f>-IS!C20</f>
        <v>63500</v>
      </c>
      <c r="D5" s="23">
        <f>-IS!D20</f>
        <v>70000</v>
      </c>
      <c r="E5" s="23">
        <f>-IS!E20</f>
        <v>77500</v>
      </c>
      <c r="F5" s="23">
        <f>-IS!F20</f>
        <v>85000</v>
      </c>
      <c r="G5" s="23">
        <f>-IS!G20</f>
        <v>69000</v>
      </c>
      <c r="H5" s="23">
        <f>-IS!H20</f>
        <v>100606.36003029735</v>
      </c>
      <c r="I5" s="23">
        <f>-IS!I20</f>
        <v>101731.44895291896</v>
      </c>
      <c r="J5" s="23">
        <f>-IS!J20</f>
        <v>141073.92182694061</v>
      </c>
      <c r="K5" s="23">
        <f>-IS!K20</f>
        <v>155148.63052448802</v>
      </c>
    </row>
    <row r="6" spans="1:11" x14ac:dyDescent="0.3">
      <c r="A6" s="14" t="s">
        <v>73</v>
      </c>
      <c r="B6" s="24">
        <v>0</v>
      </c>
      <c r="C6" s="24">
        <f>-(BS!C5-BS!B5)</f>
        <v>-15000</v>
      </c>
      <c r="D6" s="24">
        <f>-(BS!D5-BS!C5)</f>
        <v>-15000</v>
      </c>
      <c r="E6" s="24">
        <f>-(BS!E5-BS!D5)</f>
        <v>-20000</v>
      </c>
      <c r="F6" s="24">
        <f>-(BS!F5-BS!E5)</f>
        <v>-20000</v>
      </c>
      <c r="G6" s="24">
        <f>-(BS!G5-BS!F5)</f>
        <v>-34825.310173697275</v>
      </c>
      <c r="H6" s="24">
        <f>-(BS!H5-BS!G5)</f>
        <v>-35068.555831265519</v>
      </c>
      <c r="I6" s="24">
        <f>-(BS!I5-BS!H5)</f>
        <v>-45978.773200992524</v>
      </c>
      <c r="J6" s="24">
        <f>-(BS!J5-BS!I5)</f>
        <v>-60691.980625310214</v>
      </c>
      <c r="K6" s="24">
        <f>-(BS!K5-BS!J5)</f>
        <v>-80775.508759503718</v>
      </c>
    </row>
    <row r="7" spans="1:11" x14ac:dyDescent="0.3">
      <c r="A7" s="14" t="s">
        <v>74</v>
      </c>
      <c r="B7" s="24">
        <v>0</v>
      </c>
      <c r="C7" s="24">
        <f>-(BS!C6-BS!B6)</f>
        <v>-10000</v>
      </c>
      <c r="D7" s="24">
        <f>-(BS!D6-BS!C6)</f>
        <v>-10000</v>
      </c>
      <c r="E7" s="24">
        <f>-(BS!E6-BS!D6)</f>
        <v>-10000</v>
      </c>
      <c r="F7" s="24">
        <f>-(BS!F6-BS!E6)</f>
        <v>-10000</v>
      </c>
      <c r="G7" s="24">
        <f>-(BS!G6-BS!F6)</f>
        <v>-8063.9999999999854</v>
      </c>
      <c r="H7" s="24">
        <f>-(BS!H6-BS!G6)</f>
        <v>-23051.520000000004</v>
      </c>
      <c r="I7" s="24">
        <f>-(BS!I6-BS!H6)</f>
        <v>-30223.103999999963</v>
      </c>
      <c r="J7" s="24">
        <f>-(BS!J6-BS!I6)</f>
        <v>-39894.497279999981</v>
      </c>
      <c r="K7" s="24">
        <f>-(BS!K6-BS!J6)</f>
        <v>-53095.949107199995</v>
      </c>
    </row>
    <row r="8" spans="1:11" x14ac:dyDescent="0.3">
      <c r="A8" s="26" t="s">
        <v>75</v>
      </c>
      <c r="B8" s="24">
        <v>0</v>
      </c>
      <c r="C8">
        <f>-(BS!C7-BS!B7)</f>
        <v>0</v>
      </c>
      <c r="D8">
        <f>-(BS!D7-BS!C7)</f>
        <v>0</v>
      </c>
      <c r="E8">
        <f>-(BS!E7-BS!D7)</f>
        <v>0</v>
      </c>
      <c r="F8">
        <f>-(BS!F7-BS!E7)</f>
        <v>0</v>
      </c>
      <c r="G8">
        <f>-(BS!G7-BS!F7)</f>
        <v>0</v>
      </c>
      <c r="H8">
        <f>-(BS!H7-BS!G7)</f>
        <v>0</v>
      </c>
      <c r="I8">
        <f>-(BS!I7-BS!H7)</f>
        <v>0</v>
      </c>
      <c r="J8">
        <f>-(BS!J7-BS!I7)</f>
        <v>0</v>
      </c>
      <c r="K8">
        <f>-(BS!K7-BS!J7)</f>
        <v>0</v>
      </c>
    </row>
    <row r="9" spans="1:11" x14ac:dyDescent="0.3">
      <c r="A9" s="14" t="s">
        <v>76</v>
      </c>
      <c r="B9" s="24">
        <v>0</v>
      </c>
      <c r="C9" s="24">
        <f>(BS!C13-BS!B13)</f>
        <v>10000</v>
      </c>
      <c r="D9" s="24">
        <f>(BS!D13-BS!C13)</f>
        <v>10000</v>
      </c>
      <c r="E9" s="24">
        <f>(BS!E13-BS!D13)</f>
        <v>10000</v>
      </c>
      <c r="F9" s="24">
        <f>(BS!F13-BS!E13)</f>
        <v>10000</v>
      </c>
      <c r="G9" s="24">
        <f>(BS!G13-BS!F13)</f>
        <v>6280.3333333333285</v>
      </c>
      <c r="H9" s="24">
        <f>(BS!H13-BS!G13)</f>
        <v>20930.459999999977</v>
      </c>
      <c r="I9" s="24">
        <f>(BS!I13-BS!H13)</f>
        <v>27442.158666666655</v>
      </c>
      <c r="J9" s="24">
        <f>(BS!J13-BS!I13)</f>
        <v>36223.649440000008</v>
      </c>
      <c r="K9" s="24">
        <f>(BS!K13-BS!J13)</f>
        <v>48210.384345599974</v>
      </c>
    </row>
    <row r="10" spans="1:11" x14ac:dyDescent="0.3">
      <c r="A10" s="26" t="s">
        <v>77</v>
      </c>
      <c r="B10" s="24">
        <v>0</v>
      </c>
      <c r="C10" s="24">
        <f>(BS!C14-BS!B14)</f>
        <v>0</v>
      </c>
      <c r="D10" s="24">
        <f>(BS!D14-BS!C14)</f>
        <v>0</v>
      </c>
      <c r="E10" s="24">
        <f>(BS!E14-BS!D14)</f>
        <v>0</v>
      </c>
      <c r="F10" s="24">
        <f>(BS!F14-BS!E14)</f>
        <v>0</v>
      </c>
      <c r="G10" s="24">
        <f>(BS!G14-BS!F14)</f>
        <v>0</v>
      </c>
      <c r="H10" s="24">
        <f>(BS!H14-BS!G14)</f>
        <v>0</v>
      </c>
      <c r="I10" s="24">
        <f>(BS!I14-BS!H14)</f>
        <v>0</v>
      </c>
      <c r="J10" s="24">
        <f>(BS!J14-BS!I14)</f>
        <v>0</v>
      </c>
      <c r="K10" s="24">
        <f>(BS!K14-BS!J14)</f>
        <v>0</v>
      </c>
    </row>
    <row r="11" spans="1:11" x14ac:dyDescent="0.3">
      <c r="A11" s="6" t="s">
        <v>78</v>
      </c>
      <c r="B11" s="25">
        <f t="shared" ref="B11:K11" si="0">SUM(N(B4),N(B5),N(B6),N(B7),N(B8),N(B9),N(B10))</f>
        <v>265750</v>
      </c>
      <c r="C11" s="25">
        <f t="shared" si="0"/>
        <v>521375</v>
      </c>
      <c r="D11" s="25">
        <f t="shared" si="0"/>
        <v>370750</v>
      </c>
      <c r="E11" s="25">
        <f t="shared" si="0"/>
        <v>515000</v>
      </c>
      <c r="F11" s="25">
        <f t="shared" si="0"/>
        <v>594500</v>
      </c>
      <c r="G11" s="25">
        <f t="shared" si="0"/>
        <v>716468.00167134323</v>
      </c>
      <c r="H11" s="25">
        <f t="shared" si="0"/>
        <v>855748.40789846401</v>
      </c>
      <c r="I11" s="25">
        <f t="shared" si="0"/>
        <v>1018016.8641704908</v>
      </c>
      <c r="J11" s="25">
        <f t="shared" si="0"/>
        <v>1241344.9909606606</v>
      </c>
      <c r="K11" s="25">
        <f t="shared" si="0"/>
        <v>1528470.8644318704</v>
      </c>
    </row>
    <row r="13" spans="1:11" x14ac:dyDescent="0.3">
      <c r="A13" s="37" t="s">
        <v>79</v>
      </c>
      <c r="B13" s="38"/>
      <c r="C13" s="38"/>
      <c r="D13" s="38"/>
      <c r="E13" s="38"/>
      <c r="F13" s="38"/>
      <c r="G13" s="38"/>
      <c r="H13" s="38"/>
      <c r="I13" s="38"/>
      <c r="J13" s="38"/>
      <c r="K13" s="38"/>
    </row>
    <row r="14" spans="1:11" x14ac:dyDescent="0.3">
      <c r="A14" s="7" t="s">
        <v>80</v>
      </c>
      <c r="B14" s="24">
        <v>0</v>
      </c>
      <c r="C14" s="24">
        <v>0</v>
      </c>
      <c r="D14" s="24">
        <v>0</v>
      </c>
      <c r="E14" s="24">
        <v>0</v>
      </c>
      <c r="F14" s="24">
        <v>0</v>
      </c>
      <c r="G14" s="24">
        <f>-BS!G25</f>
        <v>-279709.06686864898</v>
      </c>
      <c r="H14" s="24">
        <f>-BS!H25</f>
        <v>-108106.95284777477</v>
      </c>
      <c r="I14" s="24">
        <f>-BS!I25</f>
        <v>-364014.60144639667</v>
      </c>
      <c r="J14" s="24">
        <f>-BS!J25</f>
        <v>-234905.31314392341</v>
      </c>
      <c r="K14" s="24">
        <f>-BS!K25</f>
        <v>-535273.32296979078</v>
      </c>
    </row>
    <row r="15" spans="1:11" x14ac:dyDescent="0.3">
      <c r="A15" s="6" t="s">
        <v>81</v>
      </c>
      <c r="B15" s="25">
        <f t="shared" ref="B15:K15" si="1">N(B14)</f>
        <v>0</v>
      </c>
      <c r="C15" s="25">
        <f t="shared" si="1"/>
        <v>0</v>
      </c>
      <c r="D15" s="25">
        <f t="shared" si="1"/>
        <v>0</v>
      </c>
      <c r="E15" s="25">
        <f t="shared" si="1"/>
        <v>0</v>
      </c>
      <c r="F15" s="25">
        <f t="shared" si="1"/>
        <v>0</v>
      </c>
      <c r="G15" s="25">
        <f t="shared" si="1"/>
        <v>-279709.06686864898</v>
      </c>
      <c r="H15" s="25">
        <f t="shared" si="1"/>
        <v>-108106.95284777477</v>
      </c>
      <c r="I15" s="25">
        <f t="shared" si="1"/>
        <v>-364014.60144639667</v>
      </c>
      <c r="J15" s="25">
        <f t="shared" si="1"/>
        <v>-234905.31314392341</v>
      </c>
      <c r="K15" s="25">
        <f t="shared" si="1"/>
        <v>-535273.32296979078</v>
      </c>
    </row>
    <row r="17" spans="1:11" x14ac:dyDescent="0.3">
      <c r="A17" s="37" t="s">
        <v>82</v>
      </c>
      <c r="B17" s="38"/>
      <c r="C17" s="38"/>
      <c r="D17" s="38"/>
      <c r="E17" s="38"/>
      <c r="F17" s="38"/>
      <c r="G17" s="38"/>
      <c r="H17" s="38"/>
      <c r="I17" s="38"/>
      <c r="J17" s="38"/>
      <c r="K17" s="38"/>
    </row>
    <row r="18" spans="1:11" x14ac:dyDescent="0.3">
      <c r="A18" s="14" t="s">
        <v>83</v>
      </c>
      <c r="B18" s="24">
        <v>0</v>
      </c>
      <c r="C18" s="24">
        <f>BS!C15-BS!B15</f>
        <v>5000</v>
      </c>
      <c r="D18" s="24">
        <f>BS!D15-BS!C15</f>
        <v>5000</v>
      </c>
      <c r="E18" s="24">
        <f>BS!E15-BS!D15</f>
        <v>5000</v>
      </c>
      <c r="F18" s="24">
        <f>BS!F15-BS!E15</f>
        <v>5000</v>
      </c>
      <c r="G18" s="24">
        <f>BS!G15-BS!F15</f>
        <v>53725.139223081307</v>
      </c>
      <c r="H18" s="24">
        <f>BS!H15-BS!G15</f>
        <v>-18581.952104554934</v>
      </c>
      <c r="I18" s="24">
        <f>BS!I15-BS!H15</f>
        <v>54681.224039543216</v>
      </c>
      <c r="J18" s="24">
        <f>BS!J15-BS!I15</f>
        <v>-6844.1365520255058</v>
      </c>
      <c r="K18" s="24">
        <f>BS!K15-BS!J15</f>
        <v>70810.320175412693</v>
      </c>
    </row>
    <row r="19" spans="1:11" x14ac:dyDescent="0.3">
      <c r="A19" s="14" t="s">
        <v>84</v>
      </c>
      <c r="B19" s="24">
        <v>0</v>
      </c>
      <c r="C19" s="24">
        <f>BS!C17-BS!B17</f>
        <v>20000</v>
      </c>
      <c r="D19" s="24">
        <f>BS!D17-BS!C17</f>
        <v>20000</v>
      </c>
      <c r="E19" s="24">
        <f>BS!E17-BS!D17</f>
        <v>10000</v>
      </c>
      <c r="F19" s="24">
        <f>BS!F17-BS!E17</f>
        <v>10000</v>
      </c>
      <c r="G19" s="24">
        <f>BS!G17-BS!F17</f>
        <v>108027.23968780786</v>
      </c>
      <c r="H19" s="24">
        <f>BS!H17-BS!G17</f>
        <v>3668.3547002371633</v>
      </c>
      <c r="I19" s="24">
        <f>BS!I17-BS!H17</f>
        <v>128276.21211493341</v>
      </c>
      <c r="J19" s="24">
        <f>BS!J17-BS!I17</f>
        <v>45890.616081091692</v>
      </c>
      <c r="K19" s="24">
        <f>BS!K17-BS!J17</f>
        <v>185909.59889979986</v>
      </c>
    </row>
    <row r="20" spans="1:11" x14ac:dyDescent="0.3">
      <c r="A20" s="14" t="s">
        <v>85</v>
      </c>
      <c r="B20" s="24">
        <v>0</v>
      </c>
      <c r="C20" s="24">
        <f>(BS!B19+IS!C32)-BS!C19</f>
        <v>452875</v>
      </c>
      <c r="D20" s="24">
        <f>(BS!C19+IS!D32)-BS!D19</f>
        <v>285750</v>
      </c>
      <c r="E20" s="24">
        <f>(BS!D19+IS!E32)-BS!E19</f>
        <v>407500</v>
      </c>
      <c r="F20" s="24">
        <f>(BS!E19+IS!F32)-BS!F19</f>
        <v>479500</v>
      </c>
      <c r="G20" s="24">
        <f>(BS!F19+IS!G32)-BS!G19</f>
        <v>495396.00187646912</v>
      </c>
      <c r="H20" s="24">
        <f>(BS!G19+IS!H32)-BS!H19</f>
        <v>784853.75117627229</v>
      </c>
      <c r="I20" s="24">
        <f>(BS!H19+IS!I32)-BS!I19</f>
        <v>703555.07311633031</v>
      </c>
      <c r="J20" s="24">
        <f>(BS!I19+IS!J32)-BS!J19</f>
        <v>1071086.2336650779</v>
      </c>
      <c r="K20" s="24">
        <f>(BS!J19+IS!K32)-BS!K19</f>
        <v>1080008.036117187</v>
      </c>
    </row>
    <row r="21" spans="1:11" x14ac:dyDescent="0.3">
      <c r="A21" s="6" t="s">
        <v>86</v>
      </c>
      <c r="B21" s="24">
        <f t="shared" ref="B21:K21" si="2">SUM(N(B18),N(B19),N(B20))</f>
        <v>0</v>
      </c>
      <c r="C21" s="24">
        <f t="shared" si="2"/>
        <v>477875</v>
      </c>
      <c r="D21" s="24">
        <f t="shared" si="2"/>
        <v>310750</v>
      </c>
      <c r="E21" s="24">
        <f t="shared" si="2"/>
        <v>422500</v>
      </c>
      <c r="F21" s="24">
        <f t="shared" si="2"/>
        <v>494500</v>
      </c>
      <c r="G21" s="24">
        <f t="shared" si="2"/>
        <v>657148.38078735827</v>
      </c>
      <c r="H21" s="24">
        <f t="shared" si="2"/>
        <v>769940.15377195447</v>
      </c>
      <c r="I21" s="24">
        <f t="shared" si="2"/>
        <v>886512.50927080691</v>
      </c>
      <c r="J21" s="24">
        <f t="shared" si="2"/>
        <v>1110132.7131941442</v>
      </c>
      <c r="K21" s="24">
        <f t="shared" si="2"/>
        <v>1336727.9551923997</v>
      </c>
    </row>
    <row r="24" spans="1:11" x14ac:dyDescent="0.3">
      <c r="A24" s="35" t="s">
        <v>87</v>
      </c>
      <c r="B24" s="24">
        <f t="shared" ref="B24:K24" si="3">N(B11)+N(B15)+N(B21)</f>
        <v>265750</v>
      </c>
      <c r="C24" s="24">
        <f t="shared" si="3"/>
        <v>999250</v>
      </c>
      <c r="D24" s="24">
        <f t="shared" si="3"/>
        <v>681500</v>
      </c>
      <c r="E24" s="24">
        <f t="shared" si="3"/>
        <v>937500</v>
      </c>
      <c r="F24" s="24">
        <f t="shared" si="3"/>
        <v>1089000</v>
      </c>
      <c r="G24" s="24">
        <f t="shared" si="3"/>
        <v>1093907.3155900524</v>
      </c>
      <c r="H24" s="24">
        <f t="shared" si="3"/>
        <v>1517581.6088226438</v>
      </c>
      <c r="I24" s="24">
        <f t="shared" si="3"/>
        <v>1540514.7719949009</v>
      </c>
      <c r="J24" s="24">
        <f t="shared" si="3"/>
        <v>2116572.3910108814</v>
      </c>
      <c r="K24" s="24">
        <f t="shared" si="3"/>
        <v>2329925.4966544793</v>
      </c>
    </row>
    <row r="25" spans="1:11" x14ac:dyDescent="0.3">
      <c r="A25" s="35" t="s">
        <v>88</v>
      </c>
      <c r="B25" s="24">
        <f>BS!B4</f>
        <v>60000</v>
      </c>
      <c r="C25" s="24">
        <f t="shared" ref="C25:K25" si="4">B26</f>
        <v>325750</v>
      </c>
      <c r="D25" s="24">
        <f t="shared" si="4"/>
        <v>1325000</v>
      </c>
      <c r="E25" s="24">
        <f t="shared" si="4"/>
        <v>2006500</v>
      </c>
      <c r="F25" s="24">
        <f t="shared" si="4"/>
        <v>2944000</v>
      </c>
      <c r="G25" s="24">
        <f t="shared" si="4"/>
        <v>4033000</v>
      </c>
      <c r="H25" s="24">
        <f t="shared" si="4"/>
        <v>5126907.3155900519</v>
      </c>
      <c r="I25" s="24">
        <f t="shared" si="4"/>
        <v>6644488.9244126957</v>
      </c>
      <c r="J25" s="24">
        <f t="shared" si="4"/>
        <v>8185003.6964075966</v>
      </c>
      <c r="K25" s="24">
        <f t="shared" si="4"/>
        <v>10301576.087418478</v>
      </c>
    </row>
    <row r="26" spans="1:11" x14ac:dyDescent="0.3">
      <c r="A26" s="35" t="s">
        <v>89</v>
      </c>
      <c r="B26" s="24">
        <f t="shared" ref="B26:K26" si="5">B25+B24</f>
        <v>325750</v>
      </c>
      <c r="C26" s="24">
        <f t="shared" si="5"/>
        <v>1325000</v>
      </c>
      <c r="D26" s="24">
        <f t="shared" si="5"/>
        <v>2006500</v>
      </c>
      <c r="E26" s="24">
        <f t="shared" si="5"/>
        <v>2944000</v>
      </c>
      <c r="F26" s="24">
        <f t="shared" si="5"/>
        <v>4033000</v>
      </c>
      <c r="G26" s="24">
        <f t="shared" si="5"/>
        <v>5126907.3155900519</v>
      </c>
      <c r="H26" s="24">
        <f t="shared" si="5"/>
        <v>6644488.9244126957</v>
      </c>
      <c r="I26" s="24">
        <f t="shared" si="5"/>
        <v>8185003.6964075966</v>
      </c>
      <c r="J26" s="24">
        <f t="shared" si="5"/>
        <v>10301576.087418478</v>
      </c>
      <c r="K26" s="24">
        <f t="shared" si="5"/>
        <v>12631501.584072957</v>
      </c>
    </row>
    <row r="27" spans="1:11" x14ac:dyDescent="0.3">
      <c r="A27" s="35" t="s">
        <v>90</v>
      </c>
      <c r="B27" s="24">
        <f>B26-BS!B4</f>
        <v>265750</v>
      </c>
      <c r="C27" s="24">
        <f>C26-BS!C4</f>
        <v>1255000</v>
      </c>
      <c r="D27" s="24">
        <f>D26-BS!D4</f>
        <v>1926500</v>
      </c>
      <c r="E27" s="24">
        <f>E26-BS!E4</f>
        <v>2849000</v>
      </c>
      <c r="F27" s="24">
        <f>F26-BS!F4</f>
        <v>3923000</v>
      </c>
      <c r="G27" s="24">
        <f>G26-BS!G4</f>
        <v>4913792.0037529375</v>
      </c>
      <c r="H27" s="24">
        <f>H26-BS!H4</f>
        <v>6483499.5061054816</v>
      </c>
      <c r="I27" s="24">
        <f>I26-BS!I4</f>
        <v>7890609.6523381425</v>
      </c>
      <c r="J27" s="24">
        <f>J26-BS!J4</f>
        <v>10032782.119668297</v>
      </c>
      <c r="K27" s="24">
        <f>K26-BS!K4</f>
        <v>12192798.191902671</v>
      </c>
    </row>
  </sheetData>
  <sheetProtection algorithmName="SHA-512" hashValue="6WtGZmZTzKrdbkNhjby35YKUfwO527HC3uWykVlGugK/0GYbDSENKTGXW/TB6nnxCtxFKkzbywl234FcW/Nmww==" saltValue="h0CYC08bIHFxRKOd6WeGag==" spinCount="100000" sheet="1" objects="1" scenarios="1"/>
  <mergeCells count="4">
    <mergeCell ref="A13:K13"/>
    <mergeCell ref="A17:K17"/>
    <mergeCell ref="A3:K3"/>
    <mergeCell ref="A1:K1"/>
  </mergeCells>
  <pageMargins left="0.7" right="0.7" top="0.75" bottom="0.75" header="0.3" footer="0.3"/>
  <pageSetup scale="8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7"/>
  <sheetViews>
    <sheetView showGridLines="0" view="pageBreakPreview" zoomScale="60" zoomScaleNormal="85" workbookViewId="0">
      <selection activeCell="H5" sqref="H5"/>
    </sheetView>
  </sheetViews>
  <sheetFormatPr defaultRowHeight="14.4" x14ac:dyDescent="0.3"/>
  <cols>
    <col min="1" max="1" width="40.44140625" customWidth="1"/>
    <col min="2" max="11" width="14" customWidth="1"/>
  </cols>
  <sheetData>
    <row r="1" spans="1:11" x14ac:dyDescent="0.3">
      <c r="A1" s="42" t="s">
        <v>91</v>
      </c>
      <c r="B1" s="38"/>
      <c r="C1" s="38"/>
      <c r="D1" s="38"/>
      <c r="E1" s="38"/>
      <c r="F1" s="38"/>
      <c r="G1" s="38"/>
      <c r="H1" s="38"/>
      <c r="I1" s="38"/>
      <c r="J1" s="38"/>
      <c r="K1" s="38"/>
    </row>
    <row r="2" spans="1:11" x14ac:dyDescent="0.3">
      <c r="A2" s="5"/>
      <c r="B2" s="5">
        <v>2020</v>
      </c>
      <c r="C2" s="5">
        <v>2021</v>
      </c>
      <c r="D2" s="5">
        <v>2022</v>
      </c>
      <c r="E2" s="5">
        <v>2023</v>
      </c>
      <c r="F2" s="5">
        <v>2024</v>
      </c>
      <c r="G2" s="5">
        <v>2025</v>
      </c>
      <c r="H2" s="5">
        <v>2026</v>
      </c>
      <c r="I2" s="5">
        <v>2027</v>
      </c>
      <c r="J2" s="5">
        <v>2028</v>
      </c>
      <c r="K2" s="5">
        <v>2029</v>
      </c>
    </row>
    <row r="3" spans="1:11" x14ac:dyDescent="0.3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</row>
    <row r="4" spans="1:11" x14ac:dyDescent="0.3">
      <c r="A4" s="6" t="s">
        <v>92</v>
      </c>
      <c r="B4" s="16">
        <f>BS!B10-BS!B20</f>
        <v>0</v>
      </c>
      <c r="C4" s="16">
        <f>BS!C10-BS!C20</f>
        <v>0</v>
      </c>
      <c r="D4" s="16">
        <f>BS!D10-BS!D20</f>
        <v>0</v>
      </c>
      <c r="E4" s="16">
        <f>BS!E10-BS!E20</f>
        <v>0</v>
      </c>
      <c r="F4" s="16">
        <f>BS!F10-BS!F20</f>
        <v>0</v>
      </c>
      <c r="G4" s="16">
        <f>BS!G10-BS!G20</f>
        <v>0</v>
      </c>
      <c r="H4" s="16">
        <f>BS!H10-BS!H20</f>
        <v>0</v>
      </c>
      <c r="I4" s="16">
        <f>BS!I10-BS!I20</f>
        <v>0</v>
      </c>
      <c r="J4" s="16">
        <f>BS!J10-BS!J20</f>
        <v>0</v>
      </c>
      <c r="K4" s="16">
        <f>BS!K10-BS!K20</f>
        <v>0</v>
      </c>
    </row>
    <row r="5" spans="1:11" x14ac:dyDescent="0.3">
      <c r="A5" s="6" t="s">
        <v>93</v>
      </c>
      <c r="B5" s="27"/>
      <c r="C5" s="27">
        <f>IS!C5/AVERAGE(BS!B10,BS!C10)</f>
        <v>2.074074074074074</v>
      </c>
      <c r="D5" s="27">
        <f>IS!D5/AVERAGE(BS!C10,BS!D10)</f>
        <v>2.1033707865168538</v>
      </c>
      <c r="E5" s="27">
        <f>IS!E5/AVERAGE(BS!D10,BS!E10)</f>
        <v>2.353898305084746</v>
      </c>
      <c r="F5" s="27">
        <f>IS!F5/AVERAGE(BS!E10,BS!F10)</f>
        <v>2.5476923076923077</v>
      </c>
      <c r="G5" s="27">
        <f>IS!G5/AVERAGE(BS!F10,BS!G10)</f>
        <v>2.334987133097969</v>
      </c>
      <c r="H5" s="27">
        <f>IS!H5/AVERAGE(BS!G10,BS!H10)</f>
        <v>2.334987133097969</v>
      </c>
      <c r="I5" s="27">
        <f>IS!I5/AVERAGE(BS!H10,BS!I10)</f>
        <v>2.334987133097969</v>
      </c>
      <c r="J5" s="27">
        <f>IS!J5/AVERAGE(BS!I10,BS!J10)</f>
        <v>2.334987133097969</v>
      </c>
      <c r="K5" s="27">
        <f>IS!K5/AVERAGE(BS!J10,BS!K10)</f>
        <v>2.3349871330979695</v>
      </c>
    </row>
    <row r="6" spans="1:11" x14ac:dyDescent="0.3">
      <c r="A6" s="6" t="s">
        <v>94</v>
      </c>
      <c r="B6" s="27"/>
      <c r="C6" s="27"/>
      <c r="D6" s="27"/>
      <c r="E6" s="27"/>
      <c r="F6" s="27"/>
      <c r="G6" s="27">
        <f>Inputs!G13</f>
        <v>2.334987133097969</v>
      </c>
      <c r="H6" s="27">
        <f>Inputs!H13</f>
        <v>2.334987133097969</v>
      </c>
      <c r="I6" s="27">
        <f>Inputs!I13</f>
        <v>2.334987133097969</v>
      </c>
      <c r="J6" s="27">
        <f>Inputs!J13</f>
        <v>2.334987133097969</v>
      </c>
      <c r="K6" s="27">
        <f>Inputs!K13</f>
        <v>2.334987133097969</v>
      </c>
    </row>
    <row r="7" spans="1:11" x14ac:dyDescent="0.3">
      <c r="A7" s="6" t="s">
        <v>95</v>
      </c>
      <c r="B7" s="27"/>
      <c r="C7" s="27"/>
      <c r="D7" s="27"/>
      <c r="E7" s="27"/>
      <c r="F7" s="27"/>
      <c r="G7" s="27">
        <f>G5-G6</f>
        <v>0</v>
      </c>
      <c r="H7" s="27">
        <f>H5-H6</f>
        <v>0</v>
      </c>
      <c r="I7" s="27">
        <f>I5-I6</f>
        <v>0</v>
      </c>
      <c r="J7" s="27">
        <f>J5-J6</f>
        <v>0</v>
      </c>
      <c r="K7" s="27">
        <f>K5-K6</f>
        <v>0</v>
      </c>
    </row>
  </sheetData>
  <mergeCells count="1">
    <mergeCell ref="A1:K1"/>
  </mergeCells>
  <pageMargins left="0.7" right="0.7" top="0.75" bottom="0.75" header="0.3" footer="0.3"/>
  <pageSetup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Actuals</vt:lpstr>
      <vt:lpstr>Inputs</vt:lpstr>
      <vt:lpstr>IS</vt:lpstr>
      <vt:lpstr>BS</vt:lpstr>
      <vt:lpstr>CF</vt:lpstr>
      <vt:lpstr>Checks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PRINCE</dc:creator>
  <cp:lastModifiedBy>Pratyush Prasad</cp:lastModifiedBy>
  <dcterms:created xsi:type="dcterms:W3CDTF">2026-01-16T06:30:29Z</dcterms:created>
  <dcterms:modified xsi:type="dcterms:W3CDTF">2026-02-18T07:47:07Z</dcterms:modified>
</cp:coreProperties>
</file>