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A75B0498-9EA6-4EDD-B498-D5726E31DC62}" xr6:coauthVersionLast="47" xr6:coauthVersionMax="47" xr10:uidLastSave="{00000000-0000-0000-0000-000000000000}"/>
  <bookViews>
    <workbookView xWindow="-108" yWindow="-108" windowWidth="23256" windowHeight="12456" xr2:uid="{00000000-000D-0000-FFFF-FFFF00000000}"/>
  </bookViews>
  <sheets>
    <sheet name="Profile" sheetId="1" r:id="rId1"/>
    <sheet name="Dashboard" sheetId="9" r:id="rId2"/>
    <sheet name="Scenario" sheetId="10" r:id="rId3"/>
    <sheet name="Assumptions" sheetId="2" r:id="rId4"/>
    <sheet name="Schedules" sheetId="3" r:id="rId5"/>
    <sheet name="Income Statement" sheetId="4" r:id="rId6"/>
    <sheet name="Sensitivity Analysis" sheetId="5" r:id="rId7"/>
    <sheet name="Balance Sheet" sheetId="6" r:id="rId8"/>
    <sheet name="Cash Flow" sheetId="7" r:id="rId9"/>
    <sheet name="Break Even Analysis" sheetId="8" r:id="rId10"/>
  </sheets>
  <calcPr calcId="191029"/>
</workbook>
</file>

<file path=xl/calcChain.xml><?xml version="1.0" encoding="utf-8"?>
<calcChain xmlns="http://schemas.openxmlformats.org/spreadsheetml/2006/main">
  <c r="F4" i="2" l="1"/>
  <c r="E4" i="2"/>
  <c r="D4" i="2"/>
  <c r="B29" i="5" s="1"/>
  <c r="C4" i="2"/>
  <c r="B4" i="2"/>
  <c r="F4" i="4" s="1"/>
  <c r="G9" i="8"/>
  <c r="F9" i="8"/>
  <c r="E9" i="8"/>
  <c r="D9" i="8"/>
  <c r="C9" i="8"/>
  <c r="B9" i="8"/>
  <c r="G8" i="8"/>
  <c r="F8" i="8"/>
  <c r="E8" i="8"/>
  <c r="D8" i="8"/>
  <c r="C8" i="8"/>
  <c r="B8" i="8"/>
  <c r="B7" i="8"/>
  <c r="B6" i="8"/>
  <c r="B5" i="8"/>
  <c r="B4" i="8"/>
  <c r="E22" i="7"/>
  <c r="J20" i="7"/>
  <c r="I20" i="7"/>
  <c r="H20" i="7"/>
  <c r="G20" i="7"/>
  <c r="F20" i="7"/>
  <c r="E20" i="7"/>
  <c r="E15" i="7"/>
  <c r="J13" i="7"/>
  <c r="J15" i="7" s="1"/>
  <c r="I13" i="7"/>
  <c r="I15" i="7" s="1"/>
  <c r="H13" i="7"/>
  <c r="H15" i="7" s="1"/>
  <c r="G13" i="7"/>
  <c r="G15" i="7" s="1"/>
  <c r="F13" i="7"/>
  <c r="F15" i="7" s="1"/>
  <c r="J28" i="6"/>
  <c r="I28" i="6"/>
  <c r="H28" i="6"/>
  <c r="G28" i="6"/>
  <c r="F28" i="6"/>
  <c r="E28" i="6"/>
  <c r="E16" i="6"/>
  <c r="C30" i="5"/>
  <c r="E23" i="4"/>
  <c r="D23" i="4"/>
  <c r="C23" i="4"/>
  <c r="E20" i="4"/>
  <c r="D20" i="4"/>
  <c r="C20" i="4"/>
  <c r="E17" i="4"/>
  <c r="D17" i="4"/>
  <c r="C17" i="4"/>
  <c r="E14" i="4"/>
  <c r="D14" i="4"/>
  <c r="C14" i="4"/>
  <c r="E10" i="4"/>
  <c r="E25" i="4" s="1"/>
  <c r="D10" i="4"/>
  <c r="D25" i="4" s="1"/>
  <c r="C10" i="4"/>
  <c r="C11" i="4" s="1"/>
  <c r="E5" i="4"/>
  <c r="D5" i="4"/>
  <c r="J24" i="3"/>
  <c r="J15" i="6" s="1"/>
  <c r="J16" i="6" s="1"/>
  <c r="I24" i="3"/>
  <c r="I15" i="6" s="1"/>
  <c r="I16" i="6" s="1"/>
  <c r="H24" i="3"/>
  <c r="H15" i="6" s="1"/>
  <c r="H16" i="6" s="1"/>
  <c r="G24" i="3"/>
  <c r="G15" i="6" s="1"/>
  <c r="G16" i="6" s="1"/>
  <c r="F24" i="3"/>
  <c r="F15" i="6" s="1"/>
  <c r="F16" i="6" s="1"/>
  <c r="E24" i="3"/>
  <c r="J22" i="3"/>
  <c r="I22" i="3"/>
  <c r="H22" i="3"/>
  <c r="G22" i="3"/>
  <c r="F22" i="3"/>
  <c r="E9" i="3"/>
  <c r="E9" i="6" s="1"/>
  <c r="E8" i="3"/>
  <c r="E10" i="6" s="1"/>
  <c r="E4" i="3"/>
  <c r="E10" i="3" s="1"/>
  <c r="E22" i="6" s="1"/>
  <c r="E24" i="6" s="1"/>
  <c r="E3" i="3"/>
  <c r="D7" i="2"/>
  <c r="D5" i="2"/>
  <c r="B2" i="5" l="1"/>
  <c r="F22" i="4"/>
  <c r="B13" i="9" s="1"/>
  <c r="F16" i="4"/>
  <c r="C6" i="8" s="1"/>
  <c r="F7" i="4"/>
  <c r="F4" i="3" s="1"/>
  <c r="B5" i="9"/>
  <c r="F14" i="4"/>
  <c r="B12" i="9"/>
  <c r="B10" i="9"/>
  <c r="F5" i="4"/>
  <c r="F20" i="4"/>
  <c r="B10" i="8"/>
  <c r="B11" i="8" s="1"/>
  <c r="F3" i="3"/>
  <c r="F8" i="3" s="1"/>
  <c r="F11" i="3" s="1"/>
  <c r="F7" i="7" s="1"/>
  <c r="G4" i="4"/>
  <c r="G7" i="4" s="1"/>
  <c r="E12" i="6"/>
  <c r="E17" i="6" s="1"/>
  <c r="D32" i="4"/>
  <c r="D26" i="4"/>
  <c r="E32" i="4"/>
  <c r="E26" i="4"/>
  <c r="D11" i="4"/>
  <c r="C25" i="4"/>
  <c r="C4" i="8"/>
  <c r="E11" i="4"/>
  <c r="B15" i="5"/>
  <c r="C7" i="8" l="1"/>
  <c r="F23" i="4"/>
  <c r="G10" i="4"/>
  <c r="C8" i="9" s="1"/>
  <c r="C6" i="9"/>
  <c r="H4" i="4"/>
  <c r="D12" i="9" s="1"/>
  <c r="C5" i="9"/>
  <c r="C12" i="9"/>
  <c r="C10" i="9"/>
  <c r="C5" i="8"/>
  <c r="C10" i="8" s="1"/>
  <c r="C11" i="8" s="1"/>
  <c r="B6" i="9"/>
  <c r="F17" i="4"/>
  <c r="B11" i="9"/>
  <c r="F10" i="4"/>
  <c r="B8" i="9" s="1"/>
  <c r="G22" i="4"/>
  <c r="C13" i="9" s="1"/>
  <c r="G16" i="4"/>
  <c r="G5" i="4"/>
  <c r="D4" i="8"/>
  <c r="G14" i="4"/>
  <c r="G20" i="4"/>
  <c r="G3" i="3"/>
  <c r="G8" i="3" s="1"/>
  <c r="G10" i="6" s="1"/>
  <c r="C16" i="9" s="1"/>
  <c r="F10" i="6"/>
  <c r="B16" i="9" s="1"/>
  <c r="E32" i="6"/>
  <c r="E33" i="6" s="1"/>
  <c r="E34" i="6" s="1"/>
  <c r="E36" i="6" s="1"/>
  <c r="D30" i="4"/>
  <c r="D33" i="4" s="1"/>
  <c r="D5" i="8"/>
  <c r="G4" i="3"/>
  <c r="F9" i="3"/>
  <c r="F10" i="3"/>
  <c r="C26" i="4"/>
  <c r="C32" i="4"/>
  <c r="E30" i="4"/>
  <c r="E33" i="4" s="1"/>
  <c r="H7" i="4" l="1"/>
  <c r="D6" i="9" s="1"/>
  <c r="H14" i="4"/>
  <c r="F11" i="4"/>
  <c r="F25" i="4"/>
  <c r="F32" i="4" s="1"/>
  <c r="G11" i="4"/>
  <c r="H22" i="4"/>
  <c r="D13" i="9" s="1"/>
  <c r="G23" i="4"/>
  <c r="H5" i="4"/>
  <c r="D7" i="8"/>
  <c r="H3" i="3"/>
  <c r="H8" i="3" s="1"/>
  <c r="H10" i="6" s="1"/>
  <c r="D16" i="9" s="1"/>
  <c r="I4" i="4"/>
  <c r="E12" i="9" s="1"/>
  <c r="H16" i="4"/>
  <c r="D11" i="9" s="1"/>
  <c r="D6" i="8"/>
  <c r="C11" i="9"/>
  <c r="H20" i="4"/>
  <c r="D10" i="9"/>
  <c r="D5" i="9"/>
  <c r="E4" i="8"/>
  <c r="G25" i="4"/>
  <c r="G26" i="4" s="1"/>
  <c r="G11" i="3"/>
  <c r="G7" i="7" s="1"/>
  <c r="G17" i="4"/>
  <c r="F9" i="6"/>
  <c r="B17" i="9" s="1"/>
  <c r="F12" i="3"/>
  <c r="F8" i="7" s="1"/>
  <c r="D35" i="4"/>
  <c r="E35" i="4"/>
  <c r="E6" i="7" s="1"/>
  <c r="E10" i="7" s="1"/>
  <c r="E23" i="7" s="1"/>
  <c r="F22" i="7" s="1"/>
  <c r="F22" i="6"/>
  <c r="F13" i="3"/>
  <c r="F9" i="7" s="1"/>
  <c r="C30" i="4"/>
  <c r="C33" i="4" s="1"/>
  <c r="G9" i="3"/>
  <c r="G10" i="3"/>
  <c r="H4" i="3" l="1"/>
  <c r="H9" i="3" s="1"/>
  <c r="F26" i="4"/>
  <c r="H10" i="4"/>
  <c r="D8" i="9" s="1"/>
  <c r="E5" i="8"/>
  <c r="D10" i="8"/>
  <c r="D11" i="8" s="1"/>
  <c r="I16" i="4"/>
  <c r="E11" i="9" s="1"/>
  <c r="J4" i="4"/>
  <c r="F12" i="9" s="1"/>
  <c r="H23" i="4"/>
  <c r="E10" i="9"/>
  <c r="E7" i="8"/>
  <c r="E6" i="8"/>
  <c r="I3" i="3"/>
  <c r="I8" i="3" s="1"/>
  <c r="I11" i="3" s="1"/>
  <c r="I7" i="7" s="1"/>
  <c r="E5" i="9"/>
  <c r="H11" i="3"/>
  <c r="H7" i="7" s="1"/>
  <c r="I14" i="4"/>
  <c r="G32" i="4"/>
  <c r="G30" i="4" s="1"/>
  <c r="G33" i="4" s="1"/>
  <c r="I20" i="4"/>
  <c r="I7" i="4"/>
  <c r="E6" i="9" s="1"/>
  <c r="F4" i="8"/>
  <c r="I22" i="4"/>
  <c r="E13" i="9" s="1"/>
  <c r="I5" i="4"/>
  <c r="H17" i="4"/>
  <c r="F24" i="6"/>
  <c r="B18" i="9"/>
  <c r="B19" i="9" s="1"/>
  <c r="G22" i="6"/>
  <c r="G13" i="3"/>
  <c r="G9" i="7" s="1"/>
  <c r="G12" i="3"/>
  <c r="G8" i="7" s="1"/>
  <c r="G9" i="6"/>
  <c r="C17" i="9" s="1"/>
  <c r="C35" i="4"/>
  <c r="F30" i="4"/>
  <c r="F33" i="4" s="1"/>
  <c r="H10" i="3" l="1"/>
  <c r="H22" i="6" s="1"/>
  <c r="F10" i="9"/>
  <c r="H25" i="4"/>
  <c r="D19" i="5" s="1"/>
  <c r="J3" i="3"/>
  <c r="J8" i="3" s="1"/>
  <c r="J11" i="3" s="1"/>
  <c r="J7" i="7" s="1"/>
  <c r="J20" i="4"/>
  <c r="H11" i="4"/>
  <c r="I17" i="4"/>
  <c r="J16" i="4"/>
  <c r="F11" i="9" s="1"/>
  <c r="F5" i="9"/>
  <c r="J7" i="4"/>
  <c r="F6" i="9" s="1"/>
  <c r="J14" i="4"/>
  <c r="J22" i="4"/>
  <c r="F13" i="9" s="1"/>
  <c r="G4" i="8"/>
  <c r="F6" i="8"/>
  <c r="J5" i="4"/>
  <c r="I10" i="6"/>
  <c r="E16" i="9" s="1"/>
  <c r="E10" i="8"/>
  <c r="E11" i="8" s="1"/>
  <c r="F7" i="8"/>
  <c r="I10" i="4"/>
  <c r="E8" i="9" s="1"/>
  <c r="I4" i="3"/>
  <c r="I10" i="3" s="1"/>
  <c r="F5" i="8"/>
  <c r="I23" i="4"/>
  <c r="G24" i="6"/>
  <c r="C18" i="9"/>
  <c r="C19" i="9" s="1"/>
  <c r="G35" i="4"/>
  <c r="F35" i="4"/>
  <c r="H9" i="6"/>
  <c r="D17" i="9" s="1"/>
  <c r="H12" i="3"/>
  <c r="H8" i="7" s="1"/>
  <c r="H13" i="3" l="1"/>
  <c r="H9" i="7" s="1"/>
  <c r="H26" i="4"/>
  <c r="H32" i="4"/>
  <c r="H30" i="4" s="1"/>
  <c r="H33" i="4" s="1"/>
  <c r="J10" i="6"/>
  <c r="F16" i="9" s="1"/>
  <c r="G5" i="8"/>
  <c r="J4" i="3"/>
  <c r="J10" i="3" s="1"/>
  <c r="G7" i="8"/>
  <c r="J23" i="4"/>
  <c r="G6" i="8"/>
  <c r="J17" i="4"/>
  <c r="J10" i="4"/>
  <c r="J11" i="4" s="1"/>
  <c r="I9" i="3"/>
  <c r="I12" i="3" s="1"/>
  <c r="I8" i="7" s="1"/>
  <c r="F10" i="8"/>
  <c r="F11" i="8" s="1"/>
  <c r="I25" i="4"/>
  <c r="I32" i="4" s="1"/>
  <c r="I11" i="4"/>
  <c r="G6" i="7"/>
  <c r="G10" i="7" s="1"/>
  <c r="G23" i="7" s="1"/>
  <c r="C9" i="9"/>
  <c r="C7" i="9"/>
  <c r="F6" i="7"/>
  <c r="F10" i="7" s="1"/>
  <c r="F23" i="7" s="1"/>
  <c r="F24" i="7" s="1"/>
  <c r="F8" i="6" s="1"/>
  <c r="B9" i="9"/>
  <c r="B7" i="9"/>
  <c r="H24" i="6"/>
  <c r="D18" i="9"/>
  <c r="D19" i="9" s="1"/>
  <c r="I22" i="6"/>
  <c r="I13" i="3"/>
  <c r="I9" i="7" s="1"/>
  <c r="J9" i="3" l="1"/>
  <c r="J12" i="3" s="1"/>
  <c r="J8" i="7" s="1"/>
  <c r="G10" i="8"/>
  <c r="G11" i="8" s="1"/>
  <c r="I26" i="4"/>
  <c r="F8" i="9"/>
  <c r="J25" i="4"/>
  <c r="J32" i="4" s="1"/>
  <c r="J30" i="4" s="1"/>
  <c r="J33" i="4" s="1"/>
  <c r="I9" i="6"/>
  <c r="E17" i="9" s="1"/>
  <c r="F12" i="6"/>
  <c r="B15" i="9"/>
  <c r="G22" i="7"/>
  <c r="G24" i="7" s="1"/>
  <c r="G8" i="6" s="1"/>
  <c r="I24" i="6"/>
  <c r="E18" i="9"/>
  <c r="J22" i="6"/>
  <c r="J13" i="3"/>
  <c r="J9" i="7" s="1"/>
  <c r="H35" i="4"/>
  <c r="I30" i="4"/>
  <c r="I33" i="4" s="1"/>
  <c r="J9" i="6" l="1"/>
  <c r="F17" i="9" s="1"/>
  <c r="H22" i="7"/>
  <c r="J26" i="4"/>
  <c r="E19" i="9"/>
  <c r="G12" i="6"/>
  <c r="C15" i="9"/>
  <c r="F17" i="6"/>
  <c r="B14" i="9"/>
  <c r="J24" i="6"/>
  <c r="F18" i="9"/>
  <c r="D7" i="9"/>
  <c r="D9" i="9"/>
  <c r="J35" i="4"/>
  <c r="H6" i="7"/>
  <c r="H10" i="7" s="1"/>
  <c r="H23" i="7" s="1"/>
  <c r="D6" i="5"/>
  <c r="D32" i="5"/>
  <c r="I35" i="4"/>
  <c r="F19" i="9" l="1"/>
  <c r="H24" i="7"/>
  <c r="H8" i="6" s="1"/>
  <c r="B20" i="9"/>
  <c r="F32" i="6"/>
  <c r="F33" i="6" s="1"/>
  <c r="G17" i="6"/>
  <c r="C14" i="9"/>
  <c r="E7" i="9"/>
  <c r="E9" i="9"/>
  <c r="F7" i="9"/>
  <c r="F9" i="9"/>
  <c r="I6" i="7"/>
  <c r="I10" i="7" s="1"/>
  <c r="I23" i="7" s="1"/>
  <c r="J6" i="7"/>
  <c r="J10" i="7" s="1"/>
  <c r="J23" i="7" s="1"/>
  <c r="I22" i="7" l="1"/>
  <c r="G32" i="6"/>
  <c r="G33" i="6" s="1"/>
  <c r="C20" i="9"/>
  <c r="F34" i="6"/>
  <c r="F36" i="6" s="1"/>
  <c r="B21" i="9"/>
  <c r="H12" i="6"/>
  <c r="D14" i="9" s="1"/>
  <c r="D15" i="9"/>
  <c r="I24" i="7" l="1"/>
  <c r="J22" i="7" s="1"/>
  <c r="J24" i="7" s="1"/>
  <c r="J8" i="6" s="1"/>
  <c r="J12" i="6" s="1"/>
  <c r="F14" i="9" s="1"/>
  <c r="G34" i="6"/>
  <c r="G36" i="6" s="1"/>
  <c r="C21" i="9"/>
  <c r="H17" i="6"/>
  <c r="I8" i="6" l="1"/>
  <c r="I6" i="9" s="1"/>
  <c r="F15" i="9"/>
  <c r="I7" i="9"/>
  <c r="H32" i="6"/>
  <c r="H33" i="6" s="1"/>
  <c r="D20" i="9"/>
  <c r="J17" i="6"/>
  <c r="E15" i="9" l="1"/>
  <c r="I12" i="6"/>
  <c r="E14" i="9" s="1"/>
  <c r="H34" i="6"/>
  <c r="H36" i="6" s="1"/>
  <c r="D21" i="9"/>
  <c r="J32" i="6"/>
  <c r="J33" i="6" s="1"/>
  <c r="F20" i="9"/>
  <c r="I17" i="6" l="1"/>
  <c r="I32" i="6" s="1"/>
  <c r="I33" i="6" s="1"/>
  <c r="J34" i="6"/>
  <c r="J36" i="6" s="1"/>
  <c r="F21" i="9"/>
  <c r="E20" i="9" l="1"/>
  <c r="I34" i="6"/>
  <c r="I36" i="6" s="1"/>
  <c r="I5" i="9" s="1"/>
  <c r="E21" i="9"/>
</calcChain>
</file>

<file path=xl/sharedStrings.xml><?xml version="1.0" encoding="utf-8"?>
<sst xmlns="http://schemas.openxmlformats.org/spreadsheetml/2006/main" count="187" uniqueCount="130">
  <si>
    <t>Assumptions</t>
  </si>
  <si>
    <t>Income Statement</t>
  </si>
  <si>
    <t>Year</t>
  </si>
  <si>
    <t>Revenue growth rate</t>
  </si>
  <si>
    <t>Cost of Goods Sold</t>
  </si>
  <si>
    <t>Escalation %</t>
  </si>
  <si>
    <t>Labor costs</t>
  </si>
  <si>
    <t>Marketing % of Revenue</t>
  </si>
  <si>
    <t>Other Operating Expenses</t>
  </si>
  <si>
    <t xml:space="preserve">Income Tax Expense </t>
  </si>
  <si>
    <t>Balancesheet</t>
  </si>
  <si>
    <t>DSO(Days)</t>
  </si>
  <si>
    <t>Days of Inventory</t>
  </si>
  <si>
    <t>Days Payable Outstanding (DPO)</t>
  </si>
  <si>
    <t>Initial investment</t>
  </si>
  <si>
    <t>Working Capital Schedule</t>
  </si>
  <si>
    <t>2023A</t>
  </si>
  <si>
    <t>2024F</t>
  </si>
  <si>
    <t>2025F</t>
  </si>
  <si>
    <t>2026F</t>
  </si>
  <si>
    <t>2027F</t>
  </si>
  <si>
    <t>2028F</t>
  </si>
  <si>
    <t>Revenue</t>
  </si>
  <si>
    <t>COGS</t>
  </si>
  <si>
    <t>Accounts Receivable</t>
  </si>
  <si>
    <t>Inventory</t>
  </si>
  <si>
    <t>Accounts Payable</t>
  </si>
  <si>
    <t>Changes in Accounts Receivables</t>
  </si>
  <si>
    <t>Changes in Inventory</t>
  </si>
  <si>
    <t>Changes in Trade Payables</t>
  </si>
  <si>
    <t>PPE Schedule</t>
  </si>
  <si>
    <t>Opening Net PPE</t>
  </si>
  <si>
    <t>CAPEX</t>
  </si>
  <si>
    <t>Total PPE</t>
  </si>
  <si>
    <t>Depreciation</t>
  </si>
  <si>
    <t>Closing Net PPE</t>
  </si>
  <si>
    <t xml:space="preserve">Income Statement </t>
  </si>
  <si>
    <t>Particular</t>
  </si>
  <si>
    <t>% of Growth</t>
  </si>
  <si>
    <t>% of Revenue</t>
  </si>
  <si>
    <t>Gross Profit</t>
  </si>
  <si>
    <t>Gross Margin %</t>
  </si>
  <si>
    <t>Rent &amp; Utilities</t>
  </si>
  <si>
    <t>Marketing &amp; Advertising</t>
  </si>
  <si>
    <t>Operating Income (EBIT)</t>
  </si>
  <si>
    <t>% of revenue</t>
  </si>
  <si>
    <t>Interest income</t>
  </si>
  <si>
    <t>Income Tax Expense</t>
  </si>
  <si>
    <t>Earning Before Tax</t>
  </si>
  <si>
    <t>% of EBT</t>
  </si>
  <si>
    <t>Net Income</t>
  </si>
  <si>
    <t>Revenue Growth (2026)</t>
  </si>
  <si>
    <t>COGS %</t>
  </si>
  <si>
    <t>Labour</t>
  </si>
  <si>
    <t>Marketing &amp; Advertising Vs Revenue Growth ( Net income)</t>
  </si>
  <si>
    <t>Balance Sheet</t>
  </si>
  <si>
    <t>Particulars</t>
  </si>
  <si>
    <t>Asset</t>
  </si>
  <si>
    <t>Current Assets</t>
  </si>
  <si>
    <t>Cash</t>
  </si>
  <si>
    <t>Other Current Assets</t>
  </si>
  <si>
    <t>Total Current Assets</t>
  </si>
  <si>
    <t>Non-current Assets</t>
  </si>
  <si>
    <t>Fixed Assets</t>
  </si>
  <si>
    <t>Total Non-current Assets</t>
  </si>
  <si>
    <t>Total Assets</t>
  </si>
  <si>
    <t>Liabilities and Equity</t>
  </si>
  <si>
    <t>Liabilities</t>
  </si>
  <si>
    <t>Current Liabilities</t>
  </si>
  <si>
    <t>Trade Payables</t>
  </si>
  <si>
    <t>Credit card &amp; short term debt</t>
  </si>
  <si>
    <t>Total Current Liabilities</t>
  </si>
  <si>
    <t>Non-current Liabilities</t>
  </si>
  <si>
    <t>Loans</t>
  </si>
  <si>
    <t>Total Non-current Liabilities</t>
  </si>
  <si>
    <t>Equity</t>
  </si>
  <si>
    <t>Share Capital</t>
  </si>
  <si>
    <t>Retained Earnings</t>
  </si>
  <si>
    <t>Total Equity</t>
  </si>
  <si>
    <t>Total Liabilities and Equity</t>
  </si>
  <si>
    <t>Check</t>
  </si>
  <si>
    <t>CashFlow</t>
  </si>
  <si>
    <t>Operating Activities</t>
  </si>
  <si>
    <t>Net cash provided by operations</t>
  </si>
  <si>
    <t>Investing Activities</t>
  </si>
  <si>
    <t>Capital Expenditure</t>
  </si>
  <si>
    <t>Proceeds from sale of Asset</t>
  </si>
  <si>
    <t>Net cash used in investing activities</t>
  </si>
  <si>
    <t>Financing Activities</t>
  </si>
  <si>
    <t>Proceeds from short-term debt</t>
  </si>
  <si>
    <t>Dividends paid</t>
  </si>
  <si>
    <t>Net cash used in financing activities</t>
  </si>
  <si>
    <t>Cash Balance at the beginning of the year</t>
  </si>
  <si>
    <t>Change in cash during the year</t>
  </si>
  <si>
    <t>Cash Balance at the end of the year</t>
  </si>
  <si>
    <t>Break Even Analysis-Project Drink</t>
  </si>
  <si>
    <t>Total Revenue</t>
  </si>
  <si>
    <t>COGS (Variable cost)</t>
  </si>
  <si>
    <t>Labor Cost (Variable cost)</t>
  </si>
  <si>
    <t>Other Operating expenses (V.c)</t>
  </si>
  <si>
    <t>Rent &amp; utilities (Fixed cost)</t>
  </si>
  <si>
    <t>Marketing &amp; Advertising (Fixed cost)</t>
  </si>
  <si>
    <t>Variable cost ratio</t>
  </si>
  <si>
    <t>Breakeven Revenue</t>
  </si>
  <si>
    <t>Net income</t>
  </si>
  <si>
    <t>Gross margin</t>
  </si>
  <si>
    <t>Net margin</t>
  </si>
  <si>
    <t>Current ratio</t>
  </si>
  <si>
    <t>Quick ratio</t>
  </si>
  <si>
    <t>ROA (return on assets)</t>
  </si>
  <si>
    <t>ROE (return on equity)</t>
  </si>
  <si>
    <t>Labour ratio</t>
  </si>
  <si>
    <t>Marketing ratio</t>
  </si>
  <si>
    <t>Other operating ratio</t>
  </si>
  <si>
    <t>Rent ratio</t>
  </si>
  <si>
    <t>DIO</t>
  </si>
  <si>
    <t>DPO</t>
  </si>
  <si>
    <t>CCC (days)</t>
  </si>
  <si>
    <t>DSO</t>
  </si>
  <si>
    <t>Scenario</t>
  </si>
  <si>
    <t>Base</t>
  </si>
  <si>
    <t>Optimistic</t>
  </si>
  <si>
    <t>Conservative</t>
  </si>
  <si>
    <t>BS Check</t>
  </si>
  <si>
    <t>Cash Tie</t>
  </si>
  <si>
    <t>Cash Roll-forward</t>
  </si>
  <si>
    <t>Name</t>
  </si>
  <si>
    <t>Pratyush Prasad</t>
  </si>
  <si>
    <t>Project Drink is a standardized neighborhood café concept built on repeat daily demand, high-margin beverages, and disciplined cost control. The unit economics improve over time as fixed costs (rent and marketing) are leveraged with revenue growth, driving expanding net margins and strong cash generation. With efficient working capital (negative cash conversion cycle) and scenario-tested growth assumptions, the format is positioned for scalable multi-store expansion.</t>
  </si>
  <si>
    <r>
      <t xml:space="preserve">Color convention: </t>
    </r>
    <r>
      <rPr>
        <b/>
        <sz val="11"/>
        <color rgb="FF00B050"/>
        <rFont val="Calibri"/>
        <family val="2"/>
        <scheme val="minor"/>
      </rPr>
      <t>Green = links (pure references)</t>
    </r>
    <r>
      <rPr>
        <sz val="11"/>
        <color theme="1"/>
        <rFont val="Calibri"/>
        <family val="2"/>
        <scheme val="minor"/>
      </rPr>
      <t xml:space="preserve">, </t>
    </r>
    <r>
      <rPr>
        <b/>
        <sz val="11"/>
        <color theme="1"/>
        <rFont val="Calibri"/>
        <family val="2"/>
        <scheme val="minor"/>
      </rPr>
      <t xml:space="preserve">Black = formulas/calculations and </t>
    </r>
    <r>
      <rPr>
        <b/>
        <sz val="11"/>
        <color theme="4"/>
        <rFont val="Calibri"/>
        <family val="2"/>
        <scheme val="minor"/>
      </rPr>
      <t>Blue = hardcoded inputs</t>
    </r>
    <r>
      <rPr>
        <sz val="11"/>
        <color theme="1"/>
        <rFont val="Calibri"/>
        <family val="2"/>
        <scheme val="minor"/>
      </rPr>
      <t xml:space="preserve">; Balance Sheet checks to </t>
    </r>
    <r>
      <rPr>
        <b/>
        <sz val="11"/>
        <color theme="1"/>
        <rFont val="Calibri"/>
        <family val="2"/>
        <scheme val="minor"/>
      </rPr>
      <t>0</t>
    </r>
    <r>
      <rPr>
        <sz val="11"/>
        <color theme="1"/>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</si>
</sst>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5" formatCode="0.000"/>
    <numFmt numFmtId="166" formatCode="_-[$$-409]* #,##0.00_ ;_-[$$-409]* \-#,##0.00\ ;_-[$$-409]* &quot;-&quot;??_ ;_-@_ "/>
    <numFmt numFmtId="167" formatCode="\$#,##0.00;\(\$#,##0.00\);\$0.00"/>
    <numFmt numFmtId="168" formatCode="0.00&quot;x&quot;"/>
  </numFmts>
  <fonts count="16" x14ac:knownFonts="1">
    <font>
      <sz val="11"/>
      <color theme="1"/>
      <name val="Calibri"/>
      <family val="2"/>
      <scheme val="minor"/>
    </font>
    <font>
      <sz val="11"/>
      <color theme="1"/>
      <name val="Calibri"/>
      <family val="2"/>
      <scheme val="minor"/>
    </font>
    <font>
      <sz val="11"/>
      <color theme="0"/>
      <name val="Calibri"/>
      <family val="2"/>
      <scheme val="minor"/>
    </font>
    <font>
      <sz val="11"/>
      <color theme="2" tint="-0.749992370372631"/>
      <name val="Calibri"/>
      <family val="2"/>
      <scheme val="minor"/>
    </font>
    <font>
      <sz val="11"/>
      <color theme="1" tint="0.34998626667073579"/>
      <name val="Calibri"/>
      <family val="2"/>
      <scheme val="minor"/>
    </font>
    <font>
      <sz val="11"/>
      <color theme="1" tint="0.499984740745262"/>
      <name val="Calibri"/>
      <family val="2"/>
      <scheme val="minor"/>
    </font>
    <font>
      <b/>
      <sz val="20"/>
      <color theme="0"/>
      <name val="Calibri"/>
      <family val="2"/>
      <scheme val="minor"/>
    </font>
    <font>
      <b/>
      <sz val="11"/>
      <color theme="0"/>
      <name val="Calibri"/>
      <family val="2"/>
      <scheme val="minor"/>
    </font>
    <font>
      <b/>
      <sz val="11"/>
      <color theme="1"/>
      <name val="Calibri"/>
      <family val="2"/>
      <scheme val="minor"/>
    </font>
    <font>
      <b/>
      <sz val="11"/>
      <color theme="4"/>
      <name val="Calibri"/>
      <family val="2"/>
      <scheme val="minor"/>
    </font>
    <font>
      <sz val="20"/>
      <color theme="1"/>
      <name val="Calibri"/>
      <family val="2"/>
      <scheme val="minor"/>
    </font>
    <font>
      <sz val="11"/>
      <color rgb="FF00B050"/>
      <name val="Calibri"/>
      <family val="2"/>
      <scheme val="minor"/>
    </font>
    <font>
      <sz val="11"/>
      <color rgb="FF002060"/>
      <name val="Calibri"/>
      <family val="2"/>
      <scheme val="minor"/>
    </font>
    <font>
      <b/>
      <sz val="11"/>
      <color rgb="FF00B050"/>
      <name val="Calibri"/>
      <family val="2"/>
      <scheme val="minor"/>
    </font>
    <font>
      <sz val="11"/>
      <color rgb="FF00B0F0"/>
      <name val="Calibri"/>
      <family val="2"/>
      <scheme val="minor"/>
    </font>
    <font>
      <sz val="11"/>
      <color theme="4"/>
      <name val="Calibri"/>
      <family val="2"/>
      <scheme val="minor"/>
    </font>
  </fonts>
  <fills count="7">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rgb="FFA5A5A5"/>
      </patternFill>
    </fill>
    <fill>
      <patternFill patternType="solid">
        <fgColor rgb="FFFFFF00"/>
        <bgColor indexed="64"/>
      </patternFill>
    </fill>
    <fill>
      <patternFill patternType="solid">
        <fgColor theme="0"/>
        <bgColor indexed="64"/>
      </patternFill>
    </fill>
  </fills>
  <borders count="7">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style="thin">
        <color indexed="64"/>
      </bottom>
      <diagonal/>
    </border>
  </borders>
  <cellStyleXfs count="3">
    <xf numFmtId="0" fontId="0" fillId="0" borderId="0"/>
    <xf numFmtId="9" fontId="1" fillId="0" borderId="0"/>
    <xf numFmtId="0" fontId="7" fillId="4" borderId="5" applyNumberFormat="0" applyAlignment="0" applyProtection="0"/>
  </cellStyleXfs>
  <cellXfs count="86">
    <xf numFmtId="0" fontId="0" fillId="0" borderId="0" xfId="0"/>
    <xf numFmtId="10" fontId="0" fillId="0" borderId="0" xfId="0" applyNumberFormat="1"/>
    <xf numFmtId="9" fontId="0" fillId="0" borderId="0" xfId="0" applyNumberFormat="1"/>
    <xf numFmtId="1" fontId="0" fillId="0" borderId="0" xfId="0" applyNumberFormat="1"/>
    <xf numFmtId="0" fontId="3" fillId="0" borderId="0" xfId="0" applyFont="1"/>
    <xf numFmtId="3" fontId="0" fillId="0" borderId="0" xfId="0" applyNumberFormat="1"/>
    <xf numFmtId="0" fontId="2" fillId="2" borderId="0" xfId="0" applyFont="1" applyFill="1"/>
    <xf numFmtId="166" fontId="0" fillId="0" borderId="0" xfId="0" applyNumberFormat="1"/>
    <xf numFmtId="166" fontId="0" fillId="3" borderId="0" xfId="0" applyNumberFormat="1" applyFill="1"/>
    <xf numFmtId="167" fontId="0" fillId="0" borderId="0" xfId="0" applyNumberFormat="1"/>
    <xf numFmtId="9" fontId="1" fillId="0" borderId="0" xfId="1"/>
    <xf numFmtId="168" fontId="1" fillId="0" borderId="0" xfId="1" applyNumberFormat="1"/>
    <xf numFmtId="0" fontId="8" fillId="6" borderId="6" xfId="0" applyFont="1" applyFill="1" applyBorder="1"/>
    <xf numFmtId="0" fontId="9" fillId="5" borderId="6" xfId="2" applyFont="1" applyFill="1" applyBorder="1" applyAlignment="1">
      <alignment horizontal="center"/>
    </xf>
    <xf numFmtId="0" fontId="0" fillId="0" borderId="6" xfId="0" applyBorder="1"/>
    <xf numFmtId="0" fontId="0" fillId="0" borderId="6" xfId="0" applyBorder="1" applyAlignment="1">
      <alignment horizontal="center"/>
    </xf>
    <xf numFmtId="1" fontId="0" fillId="0" borderId="6" xfId="0" applyNumberFormat="1" applyBorder="1" applyAlignment="1">
      <alignment horizontal="center"/>
    </xf>
    <xf numFmtId="0" fontId="0" fillId="6" borderId="0" xfId="0" applyFill="1"/>
    <xf numFmtId="0" fontId="10" fillId="6" borderId="0" xfId="0" applyFont="1" applyFill="1"/>
    <xf numFmtId="0" fontId="10" fillId="0" borderId="0" xfId="0" applyFont="1"/>
    <xf numFmtId="0" fontId="10" fillId="0" borderId="0" xfId="0" applyFont="1" applyAlignment="1">
      <alignment horizontal="center"/>
    </xf>
    <xf numFmtId="0" fontId="0" fillId="2" borderId="0" xfId="0" applyFill="1"/>
    <xf numFmtId="0" fontId="10" fillId="0" borderId="0" xfId="0" applyFont="1" applyAlignment="1">
      <alignment horizontal="center" vertical="center"/>
    </xf>
    <xf numFmtId="9" fontId="13" fillId="0" borderId="0" xfId="0" applyNumberFormat="1" applyFont="1"/>
    <xf numFmtId="9" fontId="13" fillId="0" borderId="0" xfId="1" applyFont="1"/>
    <xf numFmtId="0" fontId="12" fillId="0" borderId="0" xfId="0" applyFont="1"/>
    <xf numFmtId="166" fontId="11" fillId="3" borderId="0" xfId="0" applyNumberFormat="1" applyFont="1" applyFill="1"/>
    <xf numFmtId="166" fontId="11" fillId="0" borderId="0" xfId="0" applyNumberFormat="1" applyFont="1"/>
    <xf numFmtId="0" fontId="8" fillId="0" borderId="0" xfId="0" applyFont="1" applyAlignment="1">
      <alignment horizontal="center" vertical="center" wrapText="1"/>
    </xf>
    <xf numFmtId="10" fontId="15" fillId="0" borderId="0" xfId="0" applyNumberFormat="1" applyFont="1"/>
    <xf numFmtId="9" fontId="15" fillId="0" borderId="0" xfId="0" applyNumberFormat="1" applyFont="1"/>
    <xf numFmtId="0" fontId="15" fillId="0" borderId="0" xfId="0" applyFont="1"/>
    <xf numFmtId="166" fontId="15" fillId="0" borderId="0" xfId="0" applyNumberFormat="1" applyFont="1"/>
    <xf numFmtId="3" fontId="15" fillId="0" borderId="0" xfId="0" applyNumberFormat="1" applyFont="1"/>
    <xf numFmtId="9" fontId="15" fillId="0" borderId="0" xfId="1" applyFont="1"/>
    <xf numFmtId="0" fontId="0" fillId="0" borderId="0" xfId="0" applyAlignment="1">
      <alignment horizontal="left"/>
    </xf>
    <xf numFmtId="0" fontId="2" fillId="2" borderId="0" xfId="0" applyFont="1" applyFill="1" applyAlignment="1">
      <alignment horizontal="left" vertical="center"/>
    </xf>
    <xf numFmtId="0" fontId="0" fillId="0" borderId="0" xfId="0" applyAlignment="1">
      <alignment horizontal="left" vertical="center"/>
    </xf>
    <xf numFmtId="9" fontId="15" fillId="0" borderId="0" xfId="0" applyNumberFormat="1" applyFont="1" applyAlignment="1">
      <alignment horizontal="left" vertical="center"/>
    </xf>
    <xf numFmtId="167" fontId="11" fillId="0" borderId="0" xfId="0" applyNumberFormat="1" applyFont="1" applyAlignment="1">
      <alignment horizontal="left"/>
    </xf>
    <xf numFmtId="167" fontId="0" fillId="0" borderId="0" xfId="0" applyNumberFormat="1" applyAlignment="1">
      <alignment horizontal="left"/>
    </xf>
    <xf numFmtId="9" fontId="0" fillId="0" borderId="0" xfId="1" applyFont="1" applyAlignment="1">
      <alignment horizontal="left"/>
    </xf>
    <xf numFmtId="167" fontId="15" fillId="0" borderId="0" xfId="0" applyNumberFormat="1" applyFont="1" applyAlignment="1">
      <alignment horizontal="left" vertical="center"/>
    </xf>
    <xf numFmtId="167" fontId="0" fillId="0" borderId="0" xfId="0" applyNumberFormat="1" applyAlignment="1">
      <alignment horizontal="left" vertical="center"/>
    </xf>
    <xf numFmtId="0" fontId="4" fillId="0" borderId="0" xfId="0" applyFont="1" applyAlignment="1">
      <alignment horizontal="left" vertical="center"/>
    </xf>
    <xf numFmtId="164" fontId="4" fillId="0" borderId="0" xfId="1" applyNumberFormat="1" applyFont="1" applyAlignment="1">
      <alignment horizontal="left" vertical="center"/>
    </xf>
    <xf numFmtId="9" fontId="4" fillId="0" borderId="0" xfId="0" applyNumberFormat="1" applyFont="1" applyAlignment="1">
      <alignment horizontal="left" vertical="center"/>
    </xf>
    <xf numFmtId="0" fontId="0" fillId="0" borderId="1" xfId="0" applyBorder="1" applyAlignment="1">
      <alignment horizontal="left" vertical="center"/>
    </xf>
    <xf numFmtId="167" fontId="0" fillId="0" borderId="1" xfId="0" applyNumberFormat="1" applyBorder="1" applyAlignment="1">
      <alignment horizontal="left" vertical="center"/>
    </xf>
    <xf numFmtId="0" fontId="5" fillId="0" borderId="0" xfId="0" applyFont="1" applyAlignment="1">
      <alignment horizontal="left" vertical="center"/>
    </xf>
    <xf numFmtId="9" fontId="5" fillId="0" borderId="0" xfId="1" applyFont="1" applyAlignment="1">
      <alignment horizontal="left" vertical="center"/>
    </xf>
    <xf numFmtId="9" fontId="0" fillId="0" borderId="0" xfId="1" applyFont="1" applyAlignment="1">
      <alignment horizontal="left" vertical="center"/>
    </xf>
    <xf numFmtId="167" fontId="11" fillId="0" borderId="0" xfId="0" applyNumberFormat="1" applyFont="1" applyAlignment="1">
      <alignment horizontal="left" vertical="center"/>
    </xf>
    <xf numFmtId="0" fontId="15" fillId="0" borderId="0" xfId="0" applyFont="1" applyAlignment="1">
      <alignment horizontal="left" vertical="center"/>
    </xf>
    <xf numFmtId="167" fontId="12" fillId="0" borderId="0" xfId="0" applyNumberFormat="1" applyFont="1" applyAlignment="1">
      <alignment horizontal="left" vertical="center"/>
    </xf>
    <xf numFmtId="9" fontId="0" fillId="0" borderId="0" xfId="0" applyNumberFormat="1" applyAlignment="1">
      <alignment horizontal="left" vertical="center"/>
    </xf>
    <xf numFmtId="9" fontId="11" fillId="0" borderId="0" xfId="0" applyNumberFormat="1" applyFont="1" applyAlignment="1">
      <alignment horizontal="left" vertical="center"/>
    </xf>
    <xf numFmtId="10" fontId="15" fillId="0" borderId="0" xfId="0" applyNumberFormat="1" applyFont="1" applyAlignment="1">
      <alignment horizontal="left" vertical="center"/>
    </xf>
    <xf numFmtId="10" fontId="11" fillId="0" borderId="0" xfId="0" applyNumberFormat="1" applyFont="1" applyAlignment="1">
      <alignment horizontal="left" vertical="center"/>
    </xf>
    <xf numFmtId="0" fontId="14" fillId="0" borderId="0" xfId="0" applyFont="1" applyAlignment="1">
      <alignment horizontal="left" vertical="center"/>
    </xf>
    <xf numFmtId="0" fontId="0" fillId="0" borderId="4" xfId="0"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1" fontId="11" fillId="0" borderId="0" xfId="0" applyNumberFormat="1" applyFont="1" applyAlignment="1">
      <alignment horizontal="left" vertical="center"/>
    </xf>
    <xf numFmtId="164" fontId="1" fillId="0" borderId="0" xfId="1" applyNumberFormat="1" applyAlignment="1">
      <alignment horizontal="left" vertical="center"/>
    </xf>
    <xf numFmtId="168" fontId="0" fillId="0" borderId="0" xfId="0" applyNumberFormat="1" applyAlignment="1">
      <alignment horizontal="left" vertical="center"/>
    </xf>
    <xf numFmtId="9" fontId="13" fillId="0" borderId="0" xfId="0" applyNumberFormat="1" applyFont="1" applyAlignment="1">
      <alignment horizontal="left" vertical="center"/>
    </xf>
    <xf numFmtId="9" fontId="9" fillId="0" borderId="0" xfId="0" applyNumberFormat="1" applyFont="1" applyAlignment="1">
      <alignment horizontal="left" vertical="center"/>
    </xf>
    <xf numFmtId="9" fontId="13" fillId="0" borderId="0" xfId="1" applyFont="1" applyAlignment="1">
      <alignment horizontal="left" vertical="center"/>
    </xf>
    <xf numFmtId="165" fontId="9" fillId="0" borderId="0" xfId="1" applyNumberFormat="1" applyFont="1" applyAlignment="1">
      <alignment horizontal="left" vertical="center"/>
    </xf>
    <xf numFmtId="167" fontId="2" fillId="2" borderId="0" xfId="0" applyNumberFormat="1" applyFont="1" applyFill="1" applyAlignment="1">
      <alignment horizontal="left" vertical="center"/>
    </xf>
    <xf numFmtId="0" fontId="0" fillId="0" borderId="0" xfId="0" applyAlignment="1">
      <alignment horizontal="center"/>
    </xf>
    <xf numFmtId="0" fontId="6" fillId="2" borderId="0" xfId="0" applyFont="1" applyFill="1" applyAlignment="1">
      <alignment horizontal="center"/>
    </xf>
    <xf numFmtId="0" fontId="6" fillId="2" borderId="0" xfId="0" applyFont="1" applyFill="1" applyAlignment="1">
      <alignment horizontal="center" vertical="center"/>
    </xf>
    <xf numFmtId="0" fontId="10" fillId="0" borderId="0" xfId="0" applyFont="1" applyAlignment="1">
      <alignment horizontal="center"/>
    </xf>
    <xf numFmtId="0" fontId="8" fillId="0" borderId="0" xfId="0" applyFont="1" applyAlignment="1">
      <alignment horizontal="center" vertical="center" wrapText="1"/>
    </xf>
    <xf numFmtId="0" fontId="0" fillId="0" borderId="0" xfId="0" applyAlignment="1">
      <alignment horizontal="center" vertical="center" wrapText="1"/>
    </xf>
    <xf numFmtId="0" fontId="10" fillId="6" borderId="0" xfId="0" applyFont="1" applyFill="1"/>
    <xf numFmtId="0" fontId="0" fillId="6" borderId="0" xfId="0" applyFill="1" applyAlignment="1">
      <alignment horizontal="left"/>
    </xf>
    <xf numFmtId="0" fontId="0" fillId="6" borderId="0" xfId="0" applyFill="1"/>
    <xf numFmtId="0" fontId="6" fillId="6" borderId="0" xfId="0" applyFont="1" applyFill="1" applyAlignment="1">
      <alignment horizontal="center" vertical="center"/>
    </xf>
    <xf numFmtId="0" fontId="7" fillId="2" borderId="0" xfId="0" applyFont="1" applyFill="1" applyAlignment="1">
      <alignment horizontal="center"/>
    </xf>
    <xf numFmtId="0" fontId="8" fillId="0" borderId="0" xfId="0" applyFont="1"/>
    <xf numFmtId="0" fontId="0" fillId="0" borderId="0" xfId="0"/>
    <xf numFmtId="0" fontId="2" fillId="2" borderId="0" xfId="0" applyFont="1" applyFill="1" applyAlignment="1">
      <alignment horizontal="center" vertical="center"/>
    </xf>
    <xf numFmtId="0" fontId="7" fillId="2" borderId="0" xfId="0" applyFont="1" applyFill="1" applyAlignment="1">
      <alignment horizontal="center" vertical="center"/>
    </xf>
  </cellXfs>
  <cellStyles count="3">
    <cellStyle name="Check Cell" xfId="2" builtinId="23"/>
    <cellStyle name="Normal" xfId="0" builtinId="0"/>
    <cellStyle name="Percent" xfId="1" builtinId="5"/>
  </cellStyles>
  <dxfs count="6">
    <dxf>
      <font>
        <b/>
        <i val="0"/>
        <color theme="0"/>
      </font>
      <fill>
        <patternFill>
          <bgColor theme="9"/>
        </patternFill>
      </fill>
    </dxf>
    <dxf>
      <font>
        <b/>
        <i val="0"/>
        <color theme="0"/>
      </font>
      <fill>
        <patternFill>
          <bgColor rgb="FFFF0000"/>
        </patternFill>
      </fill>
    </dxf>
    <dxf>
      <font>
        <b/>
        <i val="0"/>
        <color theme="0"/>
      </font>
      <fill>
        <patternFill>
          <bgColor theme="9"/>
        </patternFill>
      </fill>
    </dxf>
    <dxf>
      <fill>
        <patternFill>
          <bgColor rgb="FFFF0000"/>
        </patternFill>
      </fill>
    </dxf>
    <dxf>
      <font>
        <b/>
        <i val="0"/>
        <color theme="0"/>
      </font>
      <fill>
        <patternFill>
          <bgColor theme="9"/>
        </patternFill>
      </fill>
    </dxf>
    <dxf>
      <font>
        <b/>
        <i val="0"/>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sz="1400" b="0" i="0" u="none" strike="noStrike" baseline="0"/>
              <a:t>Revenue vs Net Income</a:t>
            </a:r>
            <a:endParaRPr lang="en-IN"/>
          </a:p>
        </c:rich>
      </c:tx>
      <c:layout>
        <c:manualLayout>
          <c:xMode val="edge"/>
          <c:yMode val="edge"/>
          <c:x val="0.5013269656031436"/>
          <c:y val="0.18705028907256968"/>
        </c:manualLayout>
      </c:layout>
      <c:overlay val="1"/>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IN"/>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5.9379204654445544E-2"/>
          <c:y val="4.5267489711934158E-2"/>
          <c:w val="0.94062079534555443"/>
          <c:h val="0.7651300994783059"/>
        </c:manualLayout>
      </c:layout>
      <c:bar3DChart>
        <c:barDir val="col"/>
        <c:grouping val="clustered"/>
        <c:varyColors val="0"/>
        <c:ser>
          <c:idx val="0"/>
          <c:order val="0"/>
          <c:tx>
            <c:strRef>
              <c:f>Dashboard!$B$4</c:f>
              <c:strCache>
                <c:ptCount val="1"/>
                <c:pt idx="0">
                  <c:v>2024</c:v>
                </c:pt>
              </c:strCache>
            </c:strRef>
          </c:tx>
          <c:spPr>
            <a:solidFill>
              <a:schemeClr val="accent1">
                <a:tint val="54000"/>
              </a:schemeClr>
            </a:solidFill>
            <a:ln>
              <a:noFill/>
            </a:ln>
            <a:effectLst/>
            <a:sp3d/>
          </c:spPr>
          <c:invertIfNegative val="0"/>
          <c:cat>
            <c:strRef>
              <c:f>(Dashboard!$A$5,Dashboard!$A$7)</c:f>
              <c:strCache>
                <c:ptCount val="2"/>
                <c:pt idx="0">
                  <c:v>Revenue</c:v>
                </c:pt>
                <c:pt idx="1">
                  <c:v>Net income</c:v>
                </c:pt>
              </c:strCache>
            </c:strRef>
          </c:cat>
          <c:val>
            <c:numRef>
              <c:f>(Dashboard!$B$5,Dashboard!$B$7)</c:f>
              <c:numCache>
                <c:formatCode>0</c:formatCode>
                <c:ptCount val="2"/>
                <c:pt idx="0">
                  <c:v>2352000</c:v>
                </c:pt>
                <c:pt idx="1">
                  <c:v>125210.39999999992</c:v>
                </c:pt>
              </c:numCache>
            </c:numRef>
          </c:val>
          <c:extLst>
            <c:ext xmlns:c16="http://schemas.microsoft.com/office/drawing/2014/chart" uri="{C3380CC4-5D6E-409C-BE32-E72D297353CC}">
              <c16:uniqueId val="{00000000-D496-4601-A327-B5E68E174391}"/>
            </c:ext>
          </c:extLst>
        </c:ser>
        <c:ser>
          <c:idx val="1"/>
          <c:order val="1"/>
          <c:tx>
            <c:strRef>
              <c:f>Dashboard!$C$4</c:f>
              <c:strCache>
                <c:ptCount val="1"/>
                <c:pt idx="0">
                  <c:v>2025</c:v>
                </c:pt>
              </c:strCache>
            </c:strRef>
          </c:tx>
          <c:spPr>
            <a:solidFill>
              <a:schemeClr val="accent1">
                <a:tint val="77000"/>
              </a:schemeClr>
            </a:solidFill>
            <a:ln>
              <a:noFill/>
            </a:ln>
            <a:effectLst/>
            <a:sp3d/>
          </c:spPr>
          <c:invertIfNegative val="0"/>
          <c:cat>
            <c:strRef>
              <c:f>(Dashboard!$A$5,Dashboard!$A$7)</c:f>
              <c:strCache>
                <c:ptCount val="2"/>
                <c:pt idx="0">
                  <c:v>Revenue</c:v>
                </c:pt>
                <c:pt idx="1">
                  <c:v>Net income</c:v>
                </c:pt>
              </c:strCache>
            </c:strRef>
          </c:cat>
          <c:val>
            <c:numRef>
              <c:f>(Dashboard!$C$5,Dashboard!$C$7)</c:f>
              <c:numCache>
                <c:formatCode>0</c:formatCode>
                <c:ptCount val="2"/>
                <c:pt idx="0">
                  <c:v>2634240.0000000005</c:v>
                </c:pt>
                <c:pt idx="1">
                  <c:v>176775.64800000002</c:v>
                </c:pt>
              </c:numCache>
            </c:numRef>
          </c:val>
          <c:extLst>
            <c:ext xmlns:c16="http://schemas.microsoft.com/office/drawing/2014/chart" uri="{C3380CC4-5D6E-409C-BE32-E72D297353CC}">
              <c16:uniqueId val="{00000001-D496-4601-A327-B5E68E174391}"/>
            </c:ext>
          </c:extLst>
        </c:ser>
        <c:ser>
          <c:idx val="2"/>
          <c:order val="2"/>
          <c:tx>
            <c:strRef>
              <c:f>Dashboard!$D$4</c:f>
              <c:strCache>
                <c:ptCount val="1"/>
                <c:pt idx="0">
                  <c:v>2026</c:v>
                </c:pt>
              </c:strCache>
            </c:strRef>
          </c:tx>
          <c:spPr>
            <a:solidFill>
              <a:schemeClr val="accent1"/>
            </a:solidFill>
            <a:ln>
              <a:noFill/>
            </a:ln>
            <a:effectLst/>
            <a:sp3d/>
          </c:spPr>
          <c:invertIfNegative val="0"/>
          <c:cat>
            <c:strRef>
              <c:f>(Dashboard!$A$5,Dashboard!$A$7)</c:f>
              <c:strCache>
                <c:ptCount val="2"/>
                <c:pt idx="0">
                  <c:v>Revenue</c:v>
                </c:pt>
                <c:pt idx="1">
                  <c:v>Net income</c:v>
                </c:pt>
              </c:strCache>
            </c:strRef>
          </c:cat>
          <c:val>
            <c:numRef>
              <c:f>(Dashboard!$D$5,Dashboard!$D$7)</c:f>
              <c:numCache>
                <c:formatCode>0</c:formatCode>
                <c:ptCount val="2"/>
                <c:pt idx="0">
                  <c:v>2976691.2</c:v>
                </c:pt>
                <c:pt idx="1">
                  <c:v>239341.48223999992</c:v>
                </c:pt>
              </c:numCache>
            </c:numRef>
          </c:val>
          <c:extLst>
            <c:ext xmlns:c16="http://schemas.microsoft.com/office/drawing/2014/chart" uri="{C3380CC4-5D6E-409C-BE32-E72D297353CC}">
              <c16:uniqueId val="{00000002-D496-4601-A327-B5E68E174391}"/>
            </c:ext>
          </c:extLst>
        </c:ser>
        <c:ser>
          <c:idx val="3"/>
          <c:order val="3"/>
          <c:tx>
            <c:strRef>
              <c:f>Dashboard!$E$4</c:f>
              <c:strCache>
                <c:ptCount val="1"/>
                <c:pt idx="0">
                  <c:v>2027</c:v>
                </c:pt>
              </c:strCache>
            </c:strRef>
          </c:tx>
          <c:spPr>
            <a:solidFill>
              <a:schemeClr val="accent1">
                <a:shade val="76000"/>
              </a:schemeClr>
            </a:solidFill>
            <a:ln>
              <a:noFill/>
            </a:ln>
            <a:effectLst/>
            <a:sp3d/>
          </c:spPr>
          <c:invertIfNegative val="0"/>
          <c:cat>
            <c:strRef>
              <c:f>(Dashboard!$A$5,Dashboard!$A$7)</c:f>
              <c:strCache>
                <c:ptCount val="2"/>
                <c:pt idx="0">
                  <c:v>Revenue</c:v>
                </c:pt>
                <c:pt idx="1">
                  <c:v>Net income</c:v>
                </c:pt>
              </c:strCache>
            </c:strRef>
          </c:cat>
          <c:val>
            <c:numRef>
              <c:f>(Dashboard!$E$5,Dashboard!$E$7)</c:f>
              <c:numCache>
                <c:formatCode>0</c:formatCode>
                <c:ptCount val="2"/>
                <c:pt idx="0">
                  <c:v>3393427.9680000008</c:v>
                </c:pt>
                <c:pt idx="1">
                  <c:v>315479.28975359997</c:v>
                </c:pt>
              </c:numCache>
            </c:numRef>
          </c:val>
          <c:extLst>
            <c:ext xmlns:c16="http://schemas.microsoft.com/office/drawing/2014/chart" uri="{C3380CC4-5D6E-409C-BE32-E72D297353CC}">
              <c16:uniqueId val="{00000003-D496-4601-A327-B5E68E174391}"/>
            </c:ext>
          </c:extLst>
        </c:ser>
        <c:ser>
          <c:idx val="4"/>
          <c:order val="4"/>
          <c:tx>
            <c:strRef>
              <c:f>Dashboard!$F$4</c:f>
              <c:strCache>
                <c:ptCount val="1"/>
                <c:pt idx="0">
                  <c:v>2028</c:v>
                </c:pt>
              </c:strCache>
            </c:strRef>
          </c:tx>
          <c:spPr>
            <a:solidFill>
              <a:schemeClr val="accent1">
                <a:shade val="53000"/>
              </a:schemeClr>
            </a:solidFill>
            <a:ln>
              <a:noFill/>
            </a:ln>
            <a:effectLst/>
            <a:sp3d/>
          </c:spPr>
          <c:invertIfNegative val="0"/>
          <c:cat>
            <c:strRef>
              <c:f>(Dashboard!$A$5,Dashboard!$A$7)</c:f>
              <c:strCache>
                <c:ptCount val="2"/>
                <c:pt idx="0">
                  <c:v>Revenue</c:v>
                </c:pt>
                <c:pt idx="1">
                  <c:v>Net income</c:v>
                </c:pt>
              </c:strCache>
            </c:strRef>
          </c:cat>
          <c:val>
            <c:numRef>
              <c:f>(Dashboard!$F$5,Dashboard!$F$7)</c:f>
              <c:numCache>
                <c:formatCode>0</c:formatCode>
                <c:ptCount val="2"/>
                <c:pt idx="0">
                  <c:v>3902442.1632000008</c:v>
                </c:pt>
                <c:pt idx="1">
                  <c:v>408476.18321663991</c:v>
                </c:pt>
              </c:numCache>
            </c:numRef>
          </c:val>
          <c:extLst>
            <c:ext xmlns:c16="http://schemas.microsoft.com/office/drawing/2014/chart" uri="{C3380CC4-5D6E-409C-BE32-E72D297353CC}">
              <c16:uniqueId val="{00000004-D496-4601-A327-B5E68E174391}"/>
            </c:ext>
          </c:extLst>
        </c:ser>
        <c:dLbls>
          <c:showLegendKey val="0"/>
          <c:showVal val="0"/>
          <c:showCatName val="0"/>
          <c:showSerName val="0"/>
          <c:showPercent val="0"/>
          <c:showBubbleSize val="0"/>
        </c:dLbls>
        <c:gapWidth val="150"/>
        <c:shape val="box"/>
        <c:axId val="576770544"/>
        <c:axId val="576774864"/>
        <c:axId val="0"/>
      </c:bar3DChart>
      <c:catAx>
        <c:axId val="576770544"/>
        <c:scaling>
          <c:orientation val="minMax"/>
        </c:scaling>
        <c:delete val="0"/>
        <c:axPos val="b"/>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76774864"/>
        <c:crosses val="autoZero"/>
        <c:auto val="1"/>
        <c:lblAlgn val="ctr"/>
        <c:lblOffset val="100"/>
        <c:noMultiLvlLbl val="0"/>
      </c:catAx>
      <c:valAx>
        <c:axId val="576774864"/>
        <c:scaling>
          <c:orientation val="minMax"/>
        </c:scaling>
        <c:delete val="1"/>
        <c:axPos val="l"/>
        <c:numFmt formatCode="0" sourceLinked="1"/>
        <c:majorTickMark val="out"/>
        <c:minorTickMark val="none"/>
        <c:tickLblPos val="nextTo"/>
        <c:crossAx val="57677054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sz="1400" b="0" i="0" u="none" strike="noStrike" baseline="0"/>
              <a:t>Expense ratios trend</a:t>
            </a:r>
            <a:endParaRPr lang="en-I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IN"/>
        </a:p>
      </c:txPr>
    </c:title>
    <c:autoTitleDeleted val="0"/>
    <c:plotArea>
      <c:layout/>
      <c:lineChart>
        <c:grouping val="standard"/>
        <c:varyColors val="0"/>
        <c:ser>
          <c:idx val="0"/>
          <c:order val="0"/>
          <c:tx>
            <c:strRef>
              <c:f>Dashboard!$A$10</c:f>
              <c:strCache>
                <c:ptCount val="1"/>
                <c:pt idx="0">
                  <c:v>Rent ratio</c:v>
                </c:pt>
              </c:strCache>
            </c:strRef>
          </c:tx>
          <c:spPr>
            <a:ln w="28575" cap="rnd">
              <a:solidFill>
                <a:schemeClr val="accent1">
                  <a:shade val="58000"/>
                </a:schemeClr>
              </a:solidFill>
              <a:round/>
            </a:ln>
            <a:effectLst/>
          </c:spPr>
          <c:marker>
            <c:symbol val="circle"/>
            <c:size val="5"/>
            <c:spPr>
              <a:solidFill>
                <a:schemeClr val="accent1">
                  <a:shade val="58000"/>
                </a:schemeClr>
              </a:solidFill>
              <a:ln w="9525">
                <a:solidFill>
                  <a:schemeClr val="accent1">
                    <a:shade val="58000"/>
                  </a:schemeClr>
                </a:solidFill>
              </a:ln>
              <a:effectLst/>
            </c:spPr>
          </c:marker>
          <c:cat>
            <c:numRef>
              <c:f>Dashboard!$B$4:$F$4</c:f>
              <c:numCache>
                <c:formatCode>General</c:formatCode>
                <c:ptCount val="5"/>
                <c:pt idx="0">
                  <c:v>2024</c:v>
                </c:pt>
                <c:pt idx="1">
                  <c:v>2025</c:v>
                </c:pt>
                <c:pt idx="2">
                  <c:v>2026</c:v>
                </c:pt>
                <c:pt idx="3">
                  <c:v>2027</c:v>
                </c:pt>
                <c:pt idx="4">
                  <c:v>2028</c:v>
                </c:pt>
              </c:numCache>
            </c:numRef>
          </c:cat>
          <c:val>
            <c:numRef>
              <c:f>Dashboard!$B$10:$F$10</c:f>
              <c:numCache>
                <c:formatCode>0.0%</c:formatCode>
                <c:ptCount val="5"/>
                <c:pt idx="0">
                  <c:v>0.14880952380952381</c:v>
                </c:pt>
                <c:pt idx="1">
                  <c:v>0.13286564625850339</c:v>
                </c:pt>
                <c:pt idx="2">
                  <c:v>0.11758021792787911</c:v>
                </c:pt>
                <c:pt idx="3">
                  <c:v>0.1031405420419992</c:v>
                </c:pt>
                <c:pt idx="4">
                  <c:v>8.9687427862607999E-2</c:v>
                </c:pt>
              </c:numCache>
            </c:numRef>
          </c:val>
          <c:smooth val="0"/>
          <c:extLst>
            <c:ext xmlns:c16="http://schemas.microsoft.com/office/drawing/2014/chart" uri="{C3380CC4-5D6E-409C-BE32-E72D297353CC}">
              <c16:uniqueId val="{00000000-9831-4D75-877F-AFE53878377D}"/>
            </c:ext>
          </c:extLst>
        </c:ser>
        <c:ser>
          <c:idx val="1"/>
          <c:order val="1"/>
          <c:tx>
            <c:strRef>
              <c:f>Dashboard!$A$11</c:f>
              <c:strCache>
                <c:ptCount val="1"/>
                <c:pt idx="0">
                  <c:v>Labour ratio</c:v>
                </c:pt>
              </c:strCache>
            </c:strRef>
          </c:tx>
          <c:spPr>
            <a:ln w="28575" cap="rnd">
              <a:solidFill>
                <a:schemeClr val="accent1">
                  <a:shade val="86000"/>
                </a:schemeClr>
              </a:solidFill>
              <a:round/>
            </a:ln>
            <a:effectLst/>
          </c:spPr>
          <c:marker>
            <c:symbol val="circle"/>
            <c:size val="5"/>
            <c:spPr>
              <a:solidFill>
                <a:schemeClr val="accent1">
                  <a:shade val="86000"/>
                </a:schemeClr>
              </a:solidFill>
              <a:ln w="9525">
                <a:solidFill>
                  <a:schemeClr val="accent1">
                    <a:shade val="86000"/>
                  </a:schemeClr>
                </a:solidFill>
              </a:ln>
              <a:effectLst/>
            </c:spPr>
          </c:marker>
          <c:cat>
            <c:numRef>
              <c:f>Dashboard!$B$4:$F$4</c:f>
              <c:numCache>
                <c:formatCode>General</c:formatCode>
                <c:ptCount val="5"/>
                <c:pt idx="0">
                  <c:v>2024</c:v>
                </c:pt>
                <c:pt idx="1">
                  <c:v>2025</c:v>
                </c:pt>
                <c:pt idx="2">
                  <c:v>2026</c:v>
                </c:pt>
                <c:pt idx="3">
                  <c:v>2027</c:v>
                </c:pt>
                <c:pt idx="4">
                  <c:v>2028</c:v>
                </c:pt>
              </c:numCache>
            </c:numRef>
          </c:cat>
          <c:val>
            <c:numRef>
              <c:f>Dashboard!$B$11:$F$11</c:f>
              <c:numCache>
                <c:formatCode>0.0%</c:formatCode>
                <c:ptCount val="5"/>
                <c:pt idx="0">
                  <c:v>0.27800000000000002</c:v>
                </c:pt>
                <c:pt idx="1">
                  <c:v>0.27800000000000002</c:v>
                </c:pt>
                <c:pt idx="2">
                  <c:v>0.27800000000000002</c:v>
                </c:pt>
                <c:pt idx="3">
                  <c:v>0.27800000000000002</c:v>
                </c:pt>
                <c:pt idx="4">
                  <c:v>0.27800000000000002</c:v>
                </c:pt>
              </c:numCache>
            </c:numRef>
          </c:val>
          <c:smooth val="0"/>
          <c:extLst>
            <c:ext xmlns:c16="http://schemas.microsoft.com/office/drawing/2014/chart" uri="{C3380CC4-5D6E-409C-BE32-E72D297353CC}">
              <c16:uniqueId val="{00000001-9831-4D75-877F-AFE53878377D}"/>
            </c:ext>
          </c:extLst>
        </c:ser>
        <c:ser>
          <c:idx val="2"/>
          <c:order val="2"/>
          <c:tx>
            <c:strRef>
              <c:f>Dashboard!$A$12</c:f>
              <c:strCache>
                <c:ptCount val="1"/>
                <c:pt idx="0">
                  <c:v>Marketing ratio</c:v>
                </c:pt>
              </c:strCache>
            </c:strRef>
          </c:tx>
          <c:spPr>
            <a:ln w="28575" cap="rnd">
              <a:solidFill>
                <a:schemeClr val="accent1">
                  <a:tint val="86000"/>
                </a:schemeClr>
              </a:solidFill>
              <a:round/>
            </a:ln>
            <a:effectLst/>
          </c:spPr>
          <c:marker>
            <c:symbol val="circle"/>
            <c:size val="5"/>
            <c:spPr>
              <a:solidFill>
                <a:schemeClr val="accent1">
                  <a:tint val="86000"/>
                </a:schemeClr>
              </a:solidFill>
              <a:ln w="9525">
                <a:solidFill>
                  <a:schemeClr val="accent1">
                    <a:tint val="86000"/>
                  </a:schemeClr>
                </a:solidFill>
              </a:ln>
              <a:effectLst/>
            </c:spPr>
          </c:marker>
          <c:cat>
            <c:numRef>
              <c:f>Dashboard!$B$4:$F$4</c:f>
              <c:numCache>
                <c:formatCode>General</c:formatCode>
                <c:ptCount val="5"/>
                <c:pt idx="0">
                  <c:v>2024</c:v>
                </c:pt>
                <c:pt idx="1">
                  <c:v>2025</c:v>
                </c:pt>
                <c:pt idx="2">
                  <c:v>2026</c:v>
                </c:pt>
                <c:pt idx="3">
                  <c:v>2027</c:v>
                </c:pt>
                <c:pt idx="4">
                  <c:v>2028</c:v>
                </c:pt>
              </c:numCache>
            </c:numRef>
          </c:cat>
          <c:val>
            <c:numRef>
              <c:f>Dashboard!$B$12:$F$12</c:f>
              <c:numCache>
                <c:formatCode>0.0%</c:formatCode>
                <c:ptCount val="5"/>
                <c:pt idx="0">
                  <c:v>3.6139455782312924E-2</c:v>
                </c:pt>
                <c:pt idx="1">
                  <c:v>3.2267371234207962E-2</c:v>
                </c:pt>
                <c:pt idx="2">
                  <c:v>2.8555195782484926E-2</c:v>
                </c:pt>
                <c:pt idx="3">
                  <c:v>2.5048417353056948E-2</c:v>
                </c:pt>
                <c:pt idx="4">
                  <c:v>2.1781232480919087E-2</c:v>
                </c:pt>
              </c:numCache>
            </c:numRef>
          </c:val>
          <c:smooth val="0"/>
          <c:extLst>
            <c:ext xmlns:c16="http://schemas.microsoft.com/office/drawing/2014/chart" uri="{C3380CC4-5D6E-409C-BE32-E72D297353CC}">
              <c16:uniqueId val="{00000002-9831-4D75-877F-AFE53878377D}"/>
            </c:ext>
          </c:extLst>
        </c:ser>
        <c:ser>
          <c:idx val="3"/>
          <c:order val="3"/>
          <c:tx>
            <c:strRef>
              <c:f>Dashboard!$A$13</c:f>
              <c:strCache>
                <c:ptCount val="1"/>
                <c:pt idx="0">
                  <c:v>Other operating ratio</c:v>
                </c:pt>
              </c:strCache>
            </c:strRef>
          </c:tx>
          <c:spPr>
            <a:ln w="28575" cap="rnd">
              <a:solidFill>
                <a:schemeClr val="accent1">
                  <a:tint val="58000"/>
                </a:schemeClr>
              </a:solidFill>
              <a:round/>
            </a:ln>
            <a:effectLst/>
          </c:spPr>
          <c:marker>
            <c:symbol val="circle"/>
            <c:size val="5"/>
            <c:spPr>
              <a:solidFill>
                <a:schemeClr val="accent1">
                  <a:tint val="58000"/>
                </a:schemeClr>
              </a:solidFill>
              <a:ln w="9525">
                <a:solidFill>
                  <a:schemeClr val="accent1">
                    <a:tint val="58000"/>
                  </a:schemeClr>
                </a:solidFill>
              </a:ln>
              <a:effectLst/>
            </c:spPr>
          </c:marker>
          <c:cat>
            <c:numRef>
              <c:f>Dashboard!$B$4:$F$4</c:f>
              <c:numCache>
                <c:formatCode>General</c:formatCode>
                <c:ptCount val="5"/>
                <c:pt idx="0">
                  <c:v>2024</c:v>
                </c:pt>
                <c:pt idx="1">
                  <c:v>2025</c:v>
                </c:pt>
                <c:pt idx="2">
                  <c:v>2026</c:v>
                </c:pt>
                <c:pt idx="3">
                  <c:v>2027</c:v>
                </c:pt>
                <c:pt idx="4">
                  <c:v>2028</c:v>
                </c:pt>
              </c:numCache>
            </c:numRef>
          </c:cat>
          <c:val>
            <c:numRef>
              <c:f>Dashboard!$B$13:$F$13</c:f>
              <c:numCache>
                <c:formatCode>0.0%</c:formatCode>
                <c:ptCount val="5"/>
                <c:pt idx="0">
                  <c:v>6.0999999999999999E-2</c:v>
                </c:pt>
                <c:pt idx="1">
                  <c:v>6.0999999999999992E-2</c:v>
                </c:pt>
                <c:pt idx="2">
                  <c:v>6.0999999999999999E-2</c:v>
                </c:pt>
                <c:pt idx="3">
                  <c:v>6.0999999999999999E-2</c:v>
                </c:pt>
                <c:pt idx="4">
                  <c:v>6.0999999999999999E-2</c:v>
                </c:pt>
              </c:numCache>
            </c:numRef>
          </c:val>
          <c:smooth val="0"/>
          <c:extLst>
            <c:ext xmlns:c16="http://schemas.microsoft.com/office/drawing/2014/chart" uri="{C3380CC4-5D6E-409C-BE32-E72D297353CC}">
              <c16:uniqueId val="{00000003-9831-4D75-877F-AFE53878377D}"/>
            </c:ext>
          </c:extLst>
        </c:ser>
        <c:dLbls>
          <c:showLegendKey val="0"/>
          <c:showVal val="0"/>
          <c:showCatName val="0"/>
          <c:showSerName val="0"/>
          <c:showPercent val="0"/>
          <c:showBubbleSize val="0"/>
        </c:dLbls>
        <c:marker val="1"/>
        <c:smooth val="0"/>
        <c:axId val="721478296"/>
        <c:axId val="721483336"/>
      </c:lineChart>
      <c:catAx>
        <c:axId val="7214782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1483336"/>
        <c:crosses val="autoZero"/>
        <c:auto val="1"/>
        <c:lblAlgn val="ctr"/>
        <c:lblOffset val="100"/>
        <c:noMultiLvlLbl val="0"/>
      </c:catAx>
      <c:valAx>
        <c:axId val="721483336"/>
        <c:scaling>
          <c:orientation val="minMax"/>
        </c:scaling>
        <c:delete val="0"/>
        <c:axPos val="l"/>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147829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sz="1400" b="0" i="0" u="none" strike="noStrike" baseline="0"/>
              <a:t>Current vs Quick ratio</a:t>
            </a:r>
            <a:endParaRPr lang="en-I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IN"/>
        </a:p>
      </c:txPr>
    </c:title>
    <c:autoTitleDeleted val="0"/>
    <c:plotArea>
      <c:layout/>
      <c:lineChart>
        <c:grouping val="standard"/>
        <c:varyColors val="0"/>
        <c:ser>
          <c:idx val="0"/>
          <c:order val="0"/>
          <c:tx>
            <c:strRef>
              <c:f>Dashboard!$A$14</c:f>
              <c:strCache>
                <c:ptCount val="1"/>
                <c:pt idx="0">
                  <c:v>Current ratio</c:v>
                </c:pt>
              </c:strCache>
            </c:strRef>
          </c:tx>
          <c:spPr>
            <a:ln w="28575" cap="rnd">
              <a:solidFill>
                <a:schemeClr val="accent1">
                  <a:shade val="76000"/>
                </a:schemeClr>
              </a:solidFill>
              <a:round/>
            </a:ln>
            <a:effectLst/>
          </c:spPr>
          <c:marker>
            <c:symbol val="circle"/>
            <c:size val="5"/>
            <c:spPr>
              <a:solidFill>
                <a:schemeClr val="accent1">
                  <a:shade val="76000"/>
                </a:schemeClr>
              </a:solidFill>
              <a:ln w="9525">
                <a:solidFill>
                  <a:schemeClr val="accent1">
                    <a:shade val="76000"/>
                  </a:schemeClr>
                </a:solidFill>
              </a:ln>
              <a:effectLst/>
            </c:spPr>
          </c:marker>
          <c:cat>
            <c:numRef>
              <c:f>Dashboard!$B$4:$F$4</c:f>
              <c:numCache>
                <c:formatCode>General</c:formatCode>
                <c:ptCount val="5"/>
                <c:pt idx="0">
                  <c:v>2024</c:v>
                </c:pt>
                <c:pt idx="1">
                  <c:v>2025</c:v>
                </c:pt>
                <c:pt idx="2">
                  <c:v>2026</c:v>
                </c:pt>
                <c:pt idx="3">
                  <c:v>2027</c:v>
                </c:pt>
                <c:pt idx="4">
                  <c:v>2028</c:v>
                </c:pt>
              </c:numCache>
            </c:numRef>
          </c:cat>
          <c:val>
            <c:numRef>
              <c:f>Dashboard!$B$14:$F$14</c:f>
              <c:numCache>
                <c:formatCode>0.00"x"</c:formatCode>
                <c:ptCount val="5"/>
                <c:pt idx="0">
                  <c:v>4.2943537461806596</c:v>
                </c:pt>
                <c:pt idx="1">
                  <c:v>5.3646423312223925</c:v>
                </c:pt>
                <c:pt idx="2">
                  <c:v>6.650970629828544</c:v>
                </c:pt>
                <c:pt idx="3">
                  <c:v>8.124408999572891</c:v>
                </c:pt>
                <c:pt idx="4">
                  <c:v>9.7466866431488928</c:v>
                </c:pt>
              </c:numCache>
            </c:numRef>
          </c:val>
          <c:smooth val="0"/>
          <c:extLst>
            <c:ext xmlns:c16="http://schemas.microsoft.com/office/drawing/2014/chart" uri="{C3380CC4-5D6E-409C-BE32-E72D297353CC}">
              <c16:uniqueId val="{00000000-E2E7-45DD-8D17-D1FB65E1E64F}"/>
            </c:ext>
          </c:extLst>
        </c:ser>
        <c:ser>
          <c:idx val="1"/>
          <c:order val="1"/>
          <c:tx>
            <c:strRef>
              <c:f>Dashboard!$A$15</c:f>
              <c:strCache>
                <c:ptCount val="1"/>
                <c:pt idx="0">
                  <c:v>Quick ratio</c:v>
                </c:pt>
              </c:strCache>
            </c:strRef>
          </c:tx>
          <c:spPr>
            <a:ln w="28575" cap="rnd">
              <a:solidFill>
                <a:schemeClr val="accent1">
                  <a:tint val="77000"/>
                </a:schemeClr>
              </a:solidFill>
              <a:round/>
            </a:ln>
            <a:effectLst/>
          </c:spPr>
          <c:marker>
            <c:symbol val="circle"/>
            <c:size val="5"/>
            <c:spPr>
              <a:solidFill>
                <a:schemeClr val="accent1">
                  <a:tint val="77000"/>
                </a:schemeClr>
              </a:solidFill>
              <a:ln w="9525">
                <a:solidFill>
                  <a:schemeClr val="accent1">
                    <a:tint val="77000"/>
                  </a:schemeClr>
                </a:solidFill>
              </a:ln>
              <a:effectLst/>
            </c:spPr>
          </c:marker>
          <c:cat>
            <c:numRef>
              <c:f>Dashboard!$B$4:$F$4</c:f>
              <c:numCache>
                <c:formatCode>General</c:formatCode>
                <c:ptCount val="5"/>
                <c:pt idx="0">
                  <c:v>2024</c:v>
                </c:pt>
                <c:pt idx="1">
                  <c:v>2025</c:v>
                </c:pt>
                <c:pt idx="2">
                  <c:v>2026</c:v>
                </c:pt>
                <c:pt idx="3">
                  <c:v>2027</c:v>
                </c:pt>
                <c:pt idx="4">
                  <c:v>2028</c:v>
                </c:pt>
              </c:numCache>
            </c:numRef>
          </c:cat>
          <c:val>
            <c:numRef>
              <c:f>Dashboard!$B$15:$F$15</c:f>
              <c:numCache>
                <c:formatCode>0.00"x"</c:formatCode>
                <c:ptCount val="5"/>
                <c:pt idx="0">
                  <c:v>3.2053147136033044</c:v>
                </c:pt>
                <c:pt idx="1">
                  <c:v>4.3156147167879908</c:v>
                </c:pt>
                <c:pt idx="2">
                  <c:v>5.6437471598746729</c:v>
                </c:pt>
                <c:pt idx="3">
                  <c:v>7.1601988446547855</c:v>
                </c:pt>
                <c:pt idx="4">
                  <c:v>8.8260460171179584</c:v>
                </c:pt>
              </c:numCache>
            </c:numRef>
          </c:val>
          <c:smooth val="0"/>
          <c:extLst>
            <c:ext xmlns:c16="http://schemas.microsoft.com/office/drawing/2014/chart" uri="{C3380CC4-5D6E-409C-BE32-E72D297353CC}">
              <c16:uniqueId val="{00000001-E2E7-45DD-8D17-D1FB65E1E64F}"/>
            </c:ext>
          </c:extLst>
        </c:ser>
        <c:dLbls>
          <c:showLegendKey val="0"/>
          <c:showVal val="0"/>
          <c:showCatName val="0"/>
          <c:showSerName val="0"/>
          <c:showPercent val="0"/>
          <c:showBubbleSize val="0"/>
        </c:dLbls>
        <c:marker val="1"/>
        <c:smooth val="0"/>
        <c:axId val="721497736"/>
        <c:axId val="721493776"/>
      </c:lineChart>
      <c:catAx>
        <c:axId val="7214977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1493776"/>
        <c:crosses val="autoZero"/>
        <c:auto val="1"/>
        <c:lblAlgn val="ctr"/>
        <c:lblOffset val="100"/>
        <c:noMultiLvlLbl val="0"/>
      </c:catAx>
      <c:valAx>
        <c:axId val="721493776"/>
        <c:scaling>
          <c:orientation val="minMax"/>
        </c:scaling>
        <c:delete val="0"/>
        <c:axPos val="l"/>
        <c:numFmt formatCode="0.00&quot;x&quot;"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149773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sz="1400" b="0" i="0" u="none" strike="noStrike" baseline="0"/>
              <a:t>ROA vs ROE</a:t>
            </a:r>
            <a:endParaRPr lang="en-I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IN"/>
        </a:p>
      </c:txPr>
    </c:title>
    <c:autoTitleDeleted val="0"/>
    <c:plotArea>
      <c:layout/>
      <c:barChart>
        <c:barDir val="bar"/>
        <c:grouping val="clustered"/>
        <c:varyColors val="0"/>
        <c:ser>
          <c:idx val="0"/>
          <c:order val="0"/>
          <c:tx>
            <c:strRef>
              <c:f>Dashboard!$B$4</c:f>
              <c:strCache>
                <c:ptCount val="1"/>
                <c:pt idx="0">
                  <c:v>2024</c:v>
                </c:pt>
              </c:strCache>
            </c:strRef>
          </c:tx>
          <c:spPr>
            <a:solidFill>
              <a:schemeClr val="accent1">
                <a:tint val="54000"/>
              </a:schemeClr>
            </a:solidFill>
            <a:ln>
              <a:noFill/>
            </a:ln>
            <a:effectLst/>
          </c:spPr>
          <c:invertIfNegative val="0"/>
          <c:cat>
            <c:strRef>
              <c:f>Dashboard!$A$20:$A$21</c:f>
              <c:strCache>
                <c:ptCount val="2"/>
                <c:pt idx="0">
                  <c:v>ROA (return on assets)</c:v>
                </c:pt>
                <c:pt idx="1">
                  <c:v>ROE (return on equity)</c:v>
                </c:pt>
              </c:strCache>
            </c:strRef>
          </c:cat>
          <c:val>
            <c:numRef>
              <c:f>Dashboard!$B$20:$B$21</c:f>
              <c:numCache>
                <c:formatCode>0.0%</c:formatCode>
                <c:ptCount val="2"/>
                <c:pt idx="0">
                  <c:v>8.365300766431312E-2</c:v>
                </c:pt>
                <c:pt idx="1">
                  <c:v>0.33890387340484485</c:v>
                </c:pt>
              </c:numCache>
            </c:numRef>
          </c:val>
          <c:extLst>
            <c:ext xmlns:c16="http://schemas.microsoft.com/office/drawing/2014/chart" uri="{C3380CC4-5D6E-409C-BE32-E72D297353CC}">
              <c16:uniqueId val="{00000000-2E10-4A12-B5A0-F6F16B4977E6}"/>
            </c:ext>
          </c:extLst>
        </c:ser>
        <c:ser>
          <c:idx val="1"/>
          <c:order val="1"/>
          <c:tx>
            <c:strRef>
              <c:f>Dashboard!$C$4</c:f>
              <c:strCache>
                <c:ptCount val="1"/>
                <c:pt idx="0">
                  <c:v>2025</c:v>
                </c:pt>
              </c:strCache>
            </c:strRef>
          </c:tx>
          <c:spPr>
            <a:solidFill>
              <a:schemeClr val="accent1">
                <a:tint val="77000"/>
              </a:schemeClr>
            </a:solidFill>
            <a:ln>
              <a:noFill/>
            </a:ln>
            <a:effectLst/>
          </c:spPr>
          <c:invertIfNegative val="0"/>
          <c:cat>
            <c:strRef>
              <c:f>Dashboard!$A$20:$A$21</c:f>
              <c:strCache>
                <c:ptCount val="2"/>
                <c:pt idx="0">
                  <c:v>ROA (return on assets)</c:v>
                </c:pt>
                <c:pt idx="1">
                  <c:v>ROE (return on equity)</c:v>
                </c:pt>
              </c:strCache>
            </c:strRef>
          </c:cat>
          <c:val>
            <c:numRef>
              <c:f>Dashboard!$C$20:$C$21</c:f>
              <c:numCache>
                <c:formatCode>0.0%</c:formatCode>
                <c:ptCount val="2"/>
                <c:pt idx="0">
                  <c:v>0.10504616115012523</c:v>
                </c:pt>
                <c:pt idx="1">
                  <c:v>0.32362704175061474</c:v>
                </c:pt>
              </c:numCache>
            </c:numRef>
          </c:val>
          <c:extLst>
            <c:ext xmlns:c16="http://schemas.microsoft.com/office/drawing/2014/chart" uri="{C3380CC4-5D6E-409C-BE32-E72D297353CC}">
              <c16:uniqueId val="{00000001-2E10-4A12-B5A0-F6F16B4977E6}"/>
            </c:ext>
          </c:extLst>
        </c:ser>
        <c:ser>
          <c:idx val="2"/>
          <c:order val="2"/>
          <c:tx>
            <c:strRef>
              <c:f>Dashboard!$D$4</c:f>
              <c:strCache>
                <c:ptCount val="1"/>
                <c:pt idx="0">
                  <c:v>2026</c:v>
                </c:pt>
              </c:strCache>
            </c:strRef>
          </c:tx>
          <c:spPr>
            <a:solidFill>
              <a:schemeClr val="accent1"/>
            </a:solidFill>
            <a:ln>
              <a:noFill/>
            </a:ln>
            <a:effectLst/>
          </c:spPr>
          <c:invertIfNegative val="0"/>
          <c:cat>
            <c:strRef>
              <c:f>Dashboard!$A$20:$A$21</c:f>
              <c:strCache>
                <c:ptCount val="2"/>
                <c:pt idx="0">
                  <c:v>ROA (return on assets)</c:v>
                </c:pt>
                <c:pt idx="1">
                  <c:v>ROE (return on equity)</c:v>
                </c:pt>
              </c:strCache>
            </c:strRef>
          </c:cat>
          <c:val>
            <c:numRef>
              <c:f>Dashboard!$D$20:$D$21</c:f>
              <c:numCache>
                <c:formatCode>0.0%</c:formatCode>
                <c:ptCount val="2"/>
                <c:pt idx="0">
                  <c:v>0.12379062137926197</c:v>
                </c:pt>
                <c:pt idx="1">
                  <c:v>0.30467078858529795</c:v>
                </c:pt>
              </c:numCache>
            </c:numRef>
          </c:val>
          <c:extLst>
            <c:ext xmlns:c16="http://schemas.microsoft.com/office/drawing/2014/chart" uri="{C3380CC4-5D6E-409C-BE32-E72D297353CC}">
              <c16:uniqueId val="{00000003-9352-4862-8D3C-8F880C1041B9}"/>
            </c:ext>
          </c:extLst>
        </c:ser>
        <c:ser>
          <c:idx val="3"/>
          <c:order val="3"/>
          <c:tx>
            <c:strRef>
              <c:f>Dashboard!$E$4</c:f>
              <c:strCache>
                <c:ptCount val="1"/>
                <c:pt idx="0">
                  <c:v>2027</c:v>
                </c:pt>
              </c:strCache>
            </c:strRef>
          </c:tx>
          <c:spPr>
            <a:solidFill>
              <a:schemeClr val="accent1">
                <a:shade val="76000"/>
              </a:schemeClr>
            </a:solidFill>
            <a:ln>
              <a:noFill/>
            </a:ln>
            <a:effectLst/>
          </c:spPr>
          <c:invertIfNegative val="0"/>
          <c:cat>
            <c:strRef>
              <c:f>Dashboard!$A$20:$A$21</c:f>
              <c:strCache>
                <c:ptCount val="2"/>
                <c:pt idx="0">
                  <c:v>ROA (return on assets)</c:v>
                </c:pt>
                <c:pt idx="1">
                  <c:v>ROE (return on equity)</c:v>
                </c:pt>
              </c:strCache>
            </c:strRef>
          </c:cat>
          <c:val>
            <c:numRef>
              <c:f>Dashboard!$E$20:$E$21</c:f>
              <c:numCache>
                <c:formatCode>0.0%</c:formatCode>
                <c:ptCount val="2"/>
                <c:pt idx="0">
                  <c:v>0.13943107885485667</c:v>
                </c:pt>
                <c:pt idx="1">
                  <c:v>0.28652496880708389</c:v>
                </c:pt>
              </c:numCache>
            </c:numRef>
          </c:val>
          <c:extLst>
            <c:ext xmlns:c16="http://schemas.microsoft.com/office/drawing/2014/chart" uri="{C3380CC4-5D6E-409C-BE32-E72D297353CC}">
              <c16:uniqueId val="{00000004-9352-4862-8D3C-8F880C1041B9}"/>
            </c:ext>
          </c:extLst>
        </c:ser>
        <c:ser>
          <c:idx val="4"/>
          <c:order val="4"/>
          <c:tx>
            <c:strRef>
              <c:f>Dashboard!$F$4</c:f>
              <c:strCache>
                <c:ptCount val="1"/>
                <c:pt idx="0">
                  <c:v>2028</c:v>
                </c:pt>
              </c:strCache>
            </c:strRef>
          </c:tx>
          <c:spPr>
            <a:solidFill>
              <a:schemeClr val="accent1">
                <a:shade val="53000"/>
              </a:schemeClr>
            </a:solidFill>
            <a:ln>
              <a:noFill/>
            </a:ln>
            <a:effectLst/>
          </c:spPr>
          <c:invertIfNegative val="0"/>
          <c:cat>
            <c:strRef>
              <c:f>Dashboard!$A$20:$A$21</c:f>
              <c:strCache>
                <c:ptCount val="2"/>
                <c:pt idx="0">
                  <c:v>ROA (return on assets)</c:v>
                </c:pt>
                <c:pt idx="1">
                  <c:v>ROE (return on equity)</c:v>
                </c:pt>
              </c:strCache>
            </c:strRef>
          </c:cat>
          <c:val>
            <c:numRef>
              <c:f>Dashboard!$F$20:$F$21</c:f>
              <c:numCache>
                <c:formatCode>0.0%</c:formatCode>
                <c:ptCount val="2"/>
                <c:pt idx="0">
                  <c:v>0.15197253102198199</c:v>
                </c:pt>
                <c:pt idx="1">
                  <c:v>0.27059833011571421</c:v>
                </c:pt>
              </c:numCache>
            </c:numRef>
          </c:val>
          <c:extLst>
            <c:ext xmlns:c16="http://schemas.microsoft.com/office/drawing/2014/chart" uri="{C3380CC4-5D6E-409C-BE32-E72D297353CC}">
              <c16:uniqueId val="{00000005-9352-4862-8D3C-8F880C1041B9}"/>
            </c:ext>
          </c:extLst>
        </c:ser>
        <c:dLbls>
          <c:showLegendKey val="0"/>
          <c:showVal val="0"/>
          <c:showCatName val="0"/>
          <c:showSerName val="0"/>
          <c:showPercent val="0"/>
          <c:showBubbleSize val="0"/>
        </c:dLbls>
        <c:gapWidth val="150"/>
        <c:axId val="721476856"/>
        <c:axId val="721472536"/>
      </c:barChart>
      <c:catAx>
        <c:axId val="72147685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1472536"/>
        <c:crosses val="autoZero"/>
        <c:auto val="1"/>
        <c:lblAlgn val="ctr"/>
        <c:lblOffset val="100"/>
        <c:noMultiLvlLbl val="0"/>
      </c:catAx>
      <c:valAx>
        <c:axId val="721472536"/>
        <c:scaling>
          <c:orientation val="minMax"/>
        </c:scaling>
        <c:delete val="0"/>
        <c:axPos val="b"/>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214768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3"/>
    </mc:Choice>
    <mc:Fallback>
      <c:style val="3"/>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IN" sz="1400" b="0" i="0" u="none" strike="noStrike" baseline="0"/>
              <a:t>Working capital days + CCC</a:t>
            </a:r>
            <a:endParaRPr lang="en-IN"/>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IN"/>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Dashboard!$A$16</c:f>
              <c:strCache>
                <c:ptCount val="1"/>
                <c:pt idx="0">
                  <c:v>DSO</c:v>
                </c:pt>
              </c:strCache>
            </c:strRef>
          </c:tx>
          <c:spPr>
            <a:solidFill>
              <a:schemeClr val="accent1">
                <a:tint val="58000"/>
              </a:schemeClr>
            </a:solidFill>
            <a:ln>
              <a:noFill/>
            </a:ln>
            <a:effectLst/>
            <a:sp3d/>
          </c:spPr>
          <c:invertIfNegative val="0"/>
          <c:cat>
            <c:numRef>
              <c:f>Dashboard!$B$4:$F$4</c:f>
              <c:numCache>
                <c:formatCode>General</c:formatCode>
                <c:ptCount val="5"/>
                <c:pt idx="0">
                  <c:v>2024</c:v>
                </c:pt>
                <c:pt idx="1">
                  <c:v>2025</c:v>
                </c:pt>
                <c:pt idx="2">
                  <c:v>2026</c:v>
                </c:pt>
                <c:pt idx="3">
                  <c:v>2027</c:v>
                </c:pt>
                <c:pt idx="4">
                  <c:v>2028</c:v>
                </c:pt>
              </c:numCache>
            </c:numRef>
          </c:cat>
          <c:val>
            <c:numRef>
              <c:f>Dashboard!$B$16:$F$16</c:f>
              <c:numCache>
                <c:formatCode>General</c:formatCode>
                <c:ptCount val="5"/>
                <c:pt idx="0">
                  <c:v>5</c:v>
                </c:pt>
                <c:pt idx="1">
                  <c:v>5</c:v>
                </c:pt>
                <c:pt idx="2">
                  <c:v>5</c:v>
                </c:pt>
                <c:pt idx="3">
                  <c:v>5</c:v>
                </c:pt>
                <c:pt idx="4">
                  <c:v>5</c:v>
                </c:pt>
              </c:numCache>
            </c:numRef>
          </c:val>
          <c:extLst>
            <c:ext xmlns:c16="http://schemas.microsoft.com/office/drawing/2014/chart" uri="{C3380CC4-5D6E-409C-BE32-E72D297353CC}">
              <c16:uniqueId val="{00000000-766D-43DB-AE18-C4760020BA35}"/>
            </c:ext>
          </c:extLst>
        </c:ser>
        <c:ser>
          <c:idx val="1"/>
          <c:order val="1"/>
          <c:tx>
            <c:strRef>
              <c:f>Dashboard!$A$17</c:f>
              <c:strCache>
                <c:ptCount val="1"/>
                <c:pt idx="0">
                  <c:v>DIO</c:v>
                </c:pt>
              </c:strCache>
            </c:strRef>
          </c:tx>
          <c:spPr>
            <a:solidFill>
              <a:schemeClr val="accent1">
                <a:tint val="86000"/>
              </a:schemeClr>
            </a:solidFill>
            <a:ln>
              <a:noFill/>
            </a:ln>
            <a:effectLst/>
            <a:sp3d/>
          </c:spPr>
          <c:invertIfNegative val="0"/>
          <c:cat>
            <c:numRef>
              <c:f>Dashboard!$B$4:$F$4</c:f>
              <c:numCache>
                <c:formatCode>General</c:formatCode>
                <c:ptCount val="5"/>
                <c:pt idx="0">
                  <c:v>2024</c:v>
                </c:pt>
                <c:pt idx="1">
                  <c:v>2025</c:v>
                </c:pt>
                <c:pt idx="2">
                  <c:v>2026</c:v>
                </c:pt>
                <c:pt idx="3">
                  <c:v>2027</c:v>
                </c:pt>
                <c:pt idx="4">
                  <c:v>2028</c:v>
                </c:pt>
              </c:numCache>
            </c:numRef>
          </c:cat>
          <c:val>
            <c:numRef>
              <c:f>Dashboard!$B$17:$F$17</c:f>
              <c:numCache>
                <c:formatCode>General</c:formatCode>
                <c:ptCount val="5"/>
                <c:pt idx="0">
                  <c:v>15</c:v>
                </c:pt>
                <c:pt idx="1">
                  <c:v>15</c:v>
                </c:pt>
                <c:pt idx="2">
                  <c:v>15</c:v>
                </c:pt>
                <c:pt idx="3">
                  <c:v>15</c:v>
                </c:pt>
                <c:pt idx="4">
                  <c:v>15</c:v>
                </c:pt>
              </c:numCache>
            </c:numRef>
          </c:val>
          <c:extLst>
            <c:ext xmlns:c16="http://schemas.microsoft.com/office/drawing/2014/chart" uri="{C3380CC4-5D6E-409C-BE32-E72D297353CC}">
              <c16:uniqueId val="{00000001-766D-43DB-AE18-C4760020BA35}"/>
            </c:ext>
          </c:extLst>
        </c:ser>
        <c:ser>
          <c:idx val="2"/>
          <c:order val="2"/>
          <c:tx>
            <c:strRef>
              <c:f>Dashboard!$A$18</c:f>
              <c:strCache>
                <c:ptCount val="1"/>
                <c:pt idx="0">
                  <c:v>DPO</c:v>
                </c:pt>
              </c:strCache>
            </c:strRef>
          </c:tx>
          <c:spPr>
            <a:solidFill>
              <a:schemeClr val="accent1">
                <a:shade val="86000"/>
              </a:schemeClr>
            </a:solidFill>
            <a:ln>
              <a:noFill/>
            </a:ln>
            <a:effectLst/>
            <a:sp3d/>
          </c:spPr>
          <c:invertIfNegative val="0"/>
          <c:cat>
            <c:numRef>
              <c:f>Dashboard!$B$4:$F$4</c:f>
              <c:numCache>
                <c:formatCode>General</c:formatCode>
                <c:ptCount val="5"/>
                <c:pt idx="0">
                  <c:v>2024</c:v>
                </c:pt>
                <c:pt idx="1">
                  <c:v>2025</c:v>
                </c:pt>
                <c:pt idx="2">
                  <c:v>2026</c:v>
                </c:pt>
                <c:pt idx="3">
                  <c:v>2027</c:v>
                </c:pt>
                <c:pt idx="4">
                  <c:v>2028</c:v>
                </c:pt>
              </c:numCache>
            </c:numRef>
          </c:cat>
          <c:val>
            <c:numRef>
              <c:f>Dashboard!$B$18:$F$18</c:f>
              <c:numCache>
                <c:formatCode>General</c:formatCode>
                <c:ptCount val="5"/>
                <c:pt idx="0">
                  <c:v>30</c:v>
                </c:pt>
                <c:pt idx="1">
                  <c:v>30</c:v>
                </c:pt>
                <c:pt idx="2">
                  <c:v>30</c:v>
                </c:pt>
                <c:pt idx="3">
                  <c:v>30</c:v>
                </c:pt>
                <c:pt idx="4">
                  <c:v>30</c:v>
                </c:pt>
              </c:numCache>
            </c:numRef>
          </c:val>
          <c:extLst>
            <c:ext xmlns:c16="http://schemas.microsoft.com/office/drawing/2014/chart" uri="{C3380CC4-5D6E-409C-BE32-E72D297353CC}">
              <c16:uniqueId val="{00000002-766D-43DB-AE18-C4760020BA35}"/>
            </c:ext>
          </c:extLst>
        </c:ser>
        <c:ser>
          <c:idx val="3"/>
          <c:order val="3"/>
          <c:tx>
            <c:strRef>
              <c:f>Dashboard!$A$19</c:f>
              <c:strCache>
                <c:ptCount val="1"/>
                <c:pt idx="0">
                  <c:v>CCC (days)</c:v>
                </c:pt>
              </c:strCache>
            </c:strRef>
          </c:tx>
          <c:spPr>
            <a:solidFill>
              <a:schemeClr val="accent1">
                <a:shade val="58000"/>
              </a:schemeClr>
            </a:solidFill>
            <a:ln>
              <a:noFill/>
            </a:ln>
            <a:effectLst/>
            <a:sp3d/>
          </c:spPr>
          <c:invertIfNegative val="0"/>
          <c:cat>
            <c:numRef>
              <c:f>Dashboard!$B$4:$F$4</c:f>
              <c:numCache>
                <c:formatCode>General</c:formatCode>
                <c:ptCount val="5"/>
                <c:pt idx="0">
                  <c:v>2024</c:v>
                </c:pt>
                <c:pt idx="1">
                  <c:v>2025</c:v>
                </c:pt>
                <c:pt idx="2">
                  <c:v>2026</c:v>
                </c:pt>
                <c:pt idx="3">
                  <c:v>2027</c:v>
                </c:pt>
                <c:pt idx="4">
                  <c:v>2028</c:v>
                </c:pt>
              </c:numCache>
            </c:numRef>
          </c:cat>
          <c:val>
            <c:numRef>
              <c:f>Dashboard!$B$19:$F$19</c:f>
              <c:numCache>
                <c:formatCode>General</c:formatCode>
                <c:ptCount val="5"/>
                <c:pt idx="0">
                  <c:v>-10</c:v>
                </c:pt>
                <c:pt idx="1">
                  <c:v>-10</c:v>
                </c:pt>
                <c:pt idx="2">
                  <c:v>-10</c:v>
                </c:pt>
                <c:pt idx="3">
                  <c:v>-10</c:v>
                </c:pt>
                <c:pt idx="4">
                  <c:v>-10</c:v>
                </c:pt>
              </c:numCache>
            </c:numRef>
          </c:val>
          <c:extLst>
            <c:ext xmlns:c16="http://schemas.microsoft.com/office/drawing/2014/chart" uri="{C3380CC4-5D6E-409C-BE32-E72D297353CC}">
              <c16:uniqueId val="{00000003-766D-43DB-AE18-C4760020BA35}"/>
            </c:ext>
          </c:extLst>
        </c:ser>
        <c:dLbls>
          <c:showLegendKey val="0"/>
          <c:showVal val="0"/>
          <c:showCatName val="0"/>
          <c:showSerName val="0"/>
          <c:showPercent val="0"/>
          <c:showBubbleSize val="0"/>
        </c:dLbls>
        <c:gapWidth val="150"/>
        <c:shape val="box"/>
        <c:axId val="709850712"/>
        <c:axId val="709853952"/>
        <c:axId val="0"/>
      </c:bar3DChart>
      <c:catAx>
        <c:axId val="709850712"/>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09853952"/>
        <c:crosses val="autoZero"/>
        <c:auto val="1"/>
        <c:lblAlgn val="ctr"/>
        <c:lblOffset val="100"/>
        <c:noMultiLvlLbl val="0"/>
      </c:catAx>
      <c:valAx>
        <c:axId val="709853952"/>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70985071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Reversed" id="21">
  <a:schemeClr val="accent1"/>
</cs:colorStyle>
</file>

<file path=xl/charts/colors2.xml><?xml version="1.0" encoding="utf-8"?>
<cs:colorStyle xmlns:cs="http://schemas.microsoft.com/office/drawing/2012/chartStyle" xmlns:a="http://schemas.openxmlformats.org/drawingml/2006/main" meth="withinLinear" id="14">
  <a:schemeClr val="accent1"/>
</cs:colorStyle>
</file>

<file path=xl/charts/colors3.xml><?xml version="1.0" encoding="utf-8"?>
<cs:colorStyle xmlns:cs="http://schemas.microsoft.com/office/drawing/2012/chartStyle" xmlns:a="http://schemas.openxmlformats.org/drawingml/2006/main" meth="withinLinear" id="14">
  <a:schemeClr val="accent1"/>
</cs:colorStyle>
</file>

<file path=xl/charts/colors4.xml><?xml version="1.0" encoding="utf-8"?>
<cs:colorStyle xmlns:cs="http://schemas.microsoft.com/office/drawing/2012/chartStyle" xmlns:a="http://schemas.openxmlformats.org/drawingml/2006/main" meth="withinLinearReversed" id="21">
  <a:schemeClr val="accent1"/>
</cs:colorStyle>
</file>

<file path=xl/charts/colors5.xml><?xml version="1.0" encoding="utf-8"?>
<cs:colorStyle xmlns:cs="http://schemas.microsoft.com/office/drawing/2012/chartStyle" xmlns:a="http://schemas.openxmlformats.org/drawingml/2006/main" meth="withinLinearReversed" id="21">
  <a:schemeClr val="accent1"/>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hyperlink" Target="#'Sensitivity Analysis'!A1"/><Relationship Id="rId3" Type="http://schemas.openxmlformats.org/officeDocument/2006/relationships/hyperlink" Target="#Assumptions!A1"/><Relationship Id="rId7" Type="http://schemas.openxmlformats.org/officeDocument/2006/relationships/hyperlink" Target="#'Cash Flow'!A1"/><Relationship Id="rId2" Type="http://schemas.openxmlformats.org/officeDocument/2006/relationships/hyperlink" Target="#Dashboard!A1"/><Relationship Id="rId1" Type="http://schemas.openxmlformats.org/officeDocument/2006/relationships/image" Target="../media/image1.jpeg"/><Relationship Id="rId6" Type="http://schemas.openxmlformats.org/officeDocument/2006/relationships/hyperlink" Target="#'Break Even Analysis'!A1"/><Relationship Id="rId11" Type="http://schemas.openxmlformats.org/officeDocument/2006/relationships/image" Target="../media/image2.png"/><Relationship Id="rId5" Type="http://schemas.openxmlformats.org/officeDocument/2006/relationships/hyperlink" Target="#'Balance Sheet'!A1"/><Relationship Id="rId10" Type="http://schemas.openxmlformats.org/officeDocument/2006/relationships/hyperlink" Target="#Schedules!A1"/><Relationship Id="rId4" Type="http://schemas.openxmlformats.org/officeDocument/2006/relationships/hyperlink" Target="#'Income Statement'!A1"/><Relationship Id="rId9" Type="http://schemas.openxmlformats.org/officeDocument/2006/relationships/hyperlink" Target="#Scenario!A1"/></Relationships>
</file>

<file path=xl/drawings/_rels/drawing2.xml.rels><?xml version="1.0" encoding="UTF-8" standalone="yes"?>
<Relationships xmlns="http://schemas.openxmlformats.org/package/2006/relationships"><Relationship Id="rId8" Type="http://schemas.openxmlformats.org/officeDocument/2006/relationships/hyperlink" Target="#Dashboard!F5"/><Relationship Id="rId3" Type="http://schemas.openxmlformats.org/officeDocument/2006/relationships/chart" Target="../charts/chart3.xml"/><Relationship Id="rId7" Type="http://schemas.openxmlformats.org/officeDocument/2006/relationships/hyperlink" Target="#Dashboard!F7"/><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hyperlink" Target="#Dashboard!F9"/><Relationship Id="rId5" Type="http://schemas.openxmlformats.org/officeDocument/2006/relationships/chart" Target="../charts/chart5.xml"/><Relationship Id="rId4" Type="http://schemas.openxmlformats.org/officeDocument/2006/relationships/chart" Target="../charts/chart4.xml"/><Relationship Id="rId9"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a="http://schemas.openxmlformats.org/drawingml/2006/main">
  <xdr:twoCellAnchor editAs="oneCell">
    <xdr:from>
      <xdr:col>10</xdr:col>
      <xdr:colOff>297434</xdr:colOff>
      <xdr:row>2</xdr:row>
      <xdr:rowOff>172625</xdr:rowOff>
    </xdr:from>
    <xdr:to>
      <xdr:col>19</xdr:col>
      <xdr:colOff>277905</xdr:colOff>
      <xdr:row>13</xdr:row>
      <xdr:rowOff>162799</xdr:rowOff>
    </xdr:to>
    <xdr:pic>
      <xdr:nvPicPr>
        <xdr:cNvPr id="6" name="Picture 5">
          <a:extLst>
            <a:ext uri="{FF2B5EF4-FFF2-40B4-BE49-F238E27FC236}">
              <a16:creationId xmlns:a16="http://schemas.microsoft.com/office/drawing/2014/main" id="{0E7B7805-E989-E325-5D22-74147272BF2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393434" y="531213"/>
          <a:ext cx="5466871" cy="3638810"/>
        </a:xfrm>
        <a:prstGeom prst="rect">
          <a:avLst/>
        </a:prstGeom>
        <a:ln>
          <a:noFill/>
        </a:ln>
        <a:effectLst>
          <a:outerShdw blurRad="292100" dist="139700" dir="2700000" algn="tl" rotWithShape="0">
            <a:srgbClr val="333333">
              <a:alpha val="65000"/>
            </a:srgbClr>
          </a:outerShdw>
        </a:effectLst>
      </xdr:spPr>
    </xdr:pic>
    <xdr:clientData/>
  </xdr:twoCellAnchor>
  <xdr:twoCellAnchor>
    <xdr:from>
      <xdr:col>1</xdr:col>
      <xdr:colOff>47625</xdr:colOff>
      <xdr:row>2</xdr:row>
      <xdr:rowOff>266700</xdr:rowOff>
    </xdr:from>
    <xdr:to>
      <xdr:col>9</xdr:col>
      <xdr:colOff>581025</xdr:colOff>
      <xdr:row>4</xdr:row>
      <xdr:rowOff>85726</xdr:rowOff>
    </xdr:to>
    <xdr:sp macro="" textlink="">
      <xdr:nvSpPr>
        <xdr:cNvPr id="8" name="Rectangle: Rounded Corners 7">
          <a:extLst>
            <a:ext uri="{FF2B5EF4-FFF2-40B4-BE49-F238E27FC236}">
              <a16:creationId xmlns:a16="http://schemas.microsoft.com/office/drawing/2014/main" id="{C6E2AE4B-8592-4850-9656-A58DE1C555D9}"/>
            </a:ext>
          </a:extLst>
        </xdr:cNvPr>
        <xdr:cNvSpPr/>
      </xdr:nvSpPr>
      <xdr:spPr>
        <a:xfrm>
          <a:off x="1390650" y="628650"/>
          <a:ext cx="5410200" cy="466726"/>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i="0" u="none" strike="noStrike">
              <a:solidFill>
                <a:schemeClr val="bg1"/>
              </a:solidFill>
              <a:effectLst/>
              <a:latin typeface="+mn-lt"/>
              <a:ea typeface="+mn-ea"/>
              <a:cs typeface="+mn-cs"/>
            </a:rPr>
            <a:t> </a:t>
          </a:r>
          <a:r>
            <a:rPr lang="en-IN" sz="2800" b="1" i="0" u="none" strike="noStrike">
              <a:solidFill>
                <a:schemeClr val="bg1"/>
              </a:solidFill>
              <a:effectLst/>
              <a:latin typeface="+mn-lt"/>
              <a:ea typeface="+mn-ea"/>
              <a:cs typeface="+mn-cs"/>
            </a:rPr>
            <a:t>INDEX</a:t>
          </a:r>
          <a:endParaRPr lang="en-IN" sz="2400" b="1" i="0" u="none" strike="noStrike">
            <a:solidFill>
              <a:schemeClr val="bg1"/>
            </a:solidFill>
            <a:effectLst/>
            <a:latin typeface="+mn-lt"/>
            <a:ea typeface="+mn-ea"/>
            <a:cs typeface="+mn-cs"/>
          </a:endParaRPr>
        </a:p>
      </xdr:txBody>
    </xdr:sp>
    <xdr:clientData/>
  </xdr:twoCellAnchor>
  <xdr:twoCellAnchor>
    <xdr:from>
      <xdr:col>1</xdr:col>
      <xdr:colOff>28575</xdr:colOff>
      <xdr:row>4</xdr:row>
      <xdr:rowOff>285750</xdr:rowOff>
    </xdr:from>
    <xdr:to>
      <xdr:col>5</xdr:col>
      <xdr:colOff>114301</xdr:colOff>
      <xdr:row>6</xdr:row>
      <xdr:rowOff>123825</xdr:rowOff>
    </xdr:to>
    <xdr:sp macro="" textlink="">
      <xdr:nvSpPr>
        <xdr:cNvPr id="9" name="Rectangle: Rounded Corners 8">
          <a:hlinkClick xmlns:r="http://schemas.openxmlformats.org/officeDocument/2006/relationships" r:id="rId2"/>
          <a:extLst>
            <a:ext uri="{FF2B5EF4-FFF2-40B4-BE49-F238E27FC236}">
              <a16:creationId xmlns:a16="http://schemas.microsoft.com/office/drawing/2014/main" id="{EED87696-B618-41C1-8E98-E4DDA6721061}"/>
            </a:ext>
          </a:extLst>
        </xdr:cNvPr>
        <xdr:cNvSpPr/>
      </xdr:nvSpPr>
      <xdr:spPr>
        <a:xfrm>
          <a:off x="1371600" y="1295400"/>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i="0" u="none" strike="noStrike">
              <a:solidFill>
                <a:schemeClr val="bg1"/>
              </a:solidFill>
              <a:effectLst/>
              <a:latin typeface="+mn-lt"/>
              <a:ea typeface="+mn-ea"/>
              <a:cs typeface="+mn-cs"/>
            </a:rPr>
            <a:t>Dashboard</a:t>
          </a:r>
          <a:endParaRPr lang="en-IN" sz="2400" b="1" i="0" u="none" strike="noStrike">
            <a:solidFill>
              <a:schemeClr val="bg1"/>
            </a:solidFill>
            <a:effectLst/>
            <a:latin typeface="+mn-lt"/>
            <a:ea typeface="+mn-ea"/>
            <a:cs typeface="+mn-cs"/>
          </a:endParaRPr>
        </a:p>
      </xdr:txBody>
    </xdr:sp>
    <xdr:clientData/>
  </xdr:twoCellAnchor>
  <xdr:twoCellAnchor>
    <xdr:from>
      <xdr:col>1</xdr:col>
      <xdr:colOff>19050</xdr:colOff>
      <xdr:row>7</xdr:row>
      <xdr:rowOff>47625</xdr:rowOff>
    </xdr:from>
    <xdr:to>
      <xdr:col>5</xdr:col>
      <xdr:colOff>104776</xdr:colOff>
      <xdr:row>8</xdr:row>
      <xdr:rowOff>209550</xdr:rowOff>
    </xdr:to>
    <xdr:sp macro="" textlink="">
      <xdr:nvSpPr>
        <xdr:cNvPr id="10" name="Rectangle: Rounded Corners 9">
          <a:hlinkClick xmlns:r="http://schemas.openxmlformats.org/officeDocument/2006/relationships" r:id="rId3"/>
          <a:extLst>
            <a:ext uri="{FF2B5EF4-FFF2-40B4-BE49-F238E27FC236}">
              <a16:creationId xmlns:a16="http://schemas.microsoft.com/office/drawing/2014/main" id="{10053661-B751-411C-81D6-E55B67F17F9F}"/>
            </a:ext>
          </a:extLst>
        </xdr:cNvPr>
        <xdr:cNvSpPr/>
      </xdr:nvSpPr>
      <xdr:spPr>
        <a:xfrm>
          <a:off x="1362075" y="2028825"/>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i="0" u="none" strike="noStrike">
              <a:solidFill>
                <a:schemeClr val="bg1"/>
              </a:solidFill>
              <a:effectLst/>
              <a:latin typeface="+mn-lt"/>
              <a:ea typeface="+mn-ea"/>
              <a:cs typeface="+mn-cs"/>
            </a:rPr>
            <a:t> </a:t>
          </a:r>
          <a:r>
            <a:rPr lang="en-IN" sz="2000" b="1" i="0" u="none" strike="noStrike">
              <a:solidFill>
                <a:schemeClr val="bg1"/>
              </a:solidFill>
              <a:effectLst/>
              <a:latin typeface="+mn-lt"/>
              <a:ea typeface="+mn-ea"/>
              <a:cs typeface="+mn-cs"/>
            </a:rPr>
            <a:t>Assumptions</a:t>
          </a:r>
          <a:endParaRPr lang="en-IN" sz="2400" b="1" i="0" u="none" strike="noStrike">
            <a:solidFill>
              <a:schemeClr val="bg1"/>
            </a:solidFill>
            <a:effectLst/>
            <a:latin typeface="+mn-lt"/>
            <a:ea typeface="+mn-ea"/>
            <a:cs typeface="+mn-cs"/>
          </a:endParaRPr>
        </a:p>
      </xdr:txBody>
    </xdr:sp>
    <xdr:clientData/>
  </xdr:twoCellAnchor>
  <xdr:twoCellAnchor>
    <xdr:from>
      <xdr:col>1</xdr:col>
      <xdr:colOff>9525</xdr:colOff>
      <xdr:row>9</xdr:row>
      <xdr:rowOff>133350</xdr:rowOff>
    </xdr:from>
    <xdr:to>
      <xdr:col>5</xdr:col>
      <xdr:colOff>95251</xdr:colOff>
      <xdr:row>10</xdr:row>
      <xdr:rowOff>295275</xdr:rowOff>
    </xdr:to>
    <xdr:sp macro="" textlink="">
      <xdr:nvSpPr>
        <xdr:cNvPr id="11" name="Rectangle: Rounded Corners 10">
          <a:hlinkClick xmlns:r="http://schemas.openxmlformats.org/officeDocument/2006/relationships" r:id="rId4"/>
          <a:extLst>
            <a:ext uri="{FF2B5EF4-FFF2-40B4-BE49-F238E27FC236}">
              <a16:creationId xmlns:a16="http://schemas.microsoft.com/office/drawing/2014/main" id="{28A129FD-FA84-42BD-AB04-E02274D08552}"/>
            </a:ext>
          </a:extLst>
        </xdr:cNvPr>
        <xdr:cNvSpPr/>
      </xdr:nvSpPr>
      <xdr:spPr>
        <a:xfrm>
          <a:off x="1352550" y="2762250"/>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i="0" u="none" strike="noStrike">
              <a:solidFill>
                <a:schemeClr val="bg1"/>
              </a:solidFill>
              <a:effectLst/>
              <a:latin typeface="+mn-lt"/>
              <a:ea typeface="+mn-ea"/>
              <a:cs typeface="+mn-cs"/>
            </a:rPr>
            <a:t>Income Statement</a:t>
          </a:r>
        </a:p>
      </xdr:txBody>
    </xdr:sp>
    <xdr:clientData/>
  </xdr:twoCellAnchor>
  <xdr:twoCellAnchor>
    <xdr:from>
      <xdr:col>1</xdr:col>
      <xdr:colOff>19050</xdr:colOff>
      <xdr:row>11</xdr:row>
      <xdr:rowOff>219075</xdr:rowOff>
    </xdr:from>
    <xdr:to>
      <xdr:col>5</xdr:col>
      <xdr:colOff>104776</xdr:colOff>
      <xdr:row>13</xdr:row>
      <xdr:rowOff>57150</xdr:rowOff>
    </xdr:to>
    <xdr:sp macro="" textlink="">
      <xdr:nvSpPr>
        <xdr:cNvPr id="12" name="Rectangle: Rounded Corners 11">
          <a:hlinkClick xmlns:r="http://schemas.openxmlformats.org/officeDocument/2006/relationships" r:id="rId5"/>
          <a:extLst>
            <a:ext uri="{FF2B5EF4-FFF2-40B4-BE49-F238E27FC236}">
              <a16:creationId xmlns:a16="http://schemas.microsoft.com/office/drawing/2014/main" id="{DD82E4E5-0128-4E09-A78E-7ACC55878292}"/>
            </a:ext>
          </a:extLst>
        </xdr:cNvPr>
        <xdr:cNvSpPr/>
      </xdr:nvSpPr>
      <xdr:spPr>
        <a:xfrm>
          <a:off x="1362075" y="3495675"/>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i="0" u="none" strike="noStrike">
              <a:solidFill>
                <a:schemeClr val="bg1"/>
              </a:solidFill>
              <a:effectLst/>
              <a:latin typeface="+mn-lt"/>
              <a:ea typeface="+mn-ea"/>
              <a:cs typeface="+mn-cs"/>
            </a:rPr>
            <a:t> Balance Sheet</a:t>
          </a:r>
        </a:p>
      </xdr:txBody>
    </xdr:sp>
    <xdr:clientData/>
  </xdr:twoCellAnchor>
  <xdr:twoCellAnchor>
    <xdr:from>
      <xdr:col>3</xdr:col>
      <xdr:colOff>333375</xdr:colOff>
      <xdr:row>14</xdr:row>
      <xdr:rowOff>38100</xdr:rowOff>
    </xdr:from>
    <xdr:to>
      <xdr:col>7</xdr:col>
      <xdr:colOff>419101</xdr:colOff>
      <xdr:row>15</xdr:row>
      <xdr:rowOff>200025</xdr:rowOff>
    </xdr:to>
    <xdr:sp macro="" textlink="">
      <xdr:nvSpPr>
        <xdr:cNvPr id="13" name="Rectangle: Rounded Corners 12">
          <a:hlinkClick xmlns:r="http://schemas.openxmlformats.org/officeDocument/2006/relationships" r:id="rId6"/>
          <a:extLst>
            <a:ext uri="{FF2B5EF4-FFF2-40B4-BE49-F238E27FC236}">
              <a16:creationId xmlns:a16="http://schemas.microsoft.com/office/drawing/2014/main" id="{AA0E3804-4264-42B5-8E8E-CBDA25F84DC2}"/>
            </a:ext>
          </a:extLst>
        </xdr:cNvPr>
        <xdr:cNvSpPr/>
      </xdr:nvSpPr>
      <xdr:spPr>
        <a:xfrm>
          <a:off x="2895600" y="4286250"/>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i="0" u="none" strike="noStrike">
              <a:solidFill>
                <a:schemeClr val="bg1"/>
              </a:solidFill>
              <a:effectLst/>
              <a:latin typeface="+mn-lt"/>
              <a:ea typeface="+mn-ea"/>
              <a:cs typeface="+mn-cs"/>
            </a:rPr>
            <a:t> Break Even Analysis</a:t>
          </a:r>
        </a:p>
      </xdr:txBody>
    </xdr:sp>
    <xdr:clientData/>
  </xdr:twoCellAnchor>
  <xdr:twoCellAnchor>
    <xdr:from>
      <xdr:col>5</xdr:col>
      <xdr:colOff>476250</xdr:colOff>
      <xdr:row>11</xdr:row>
      <xdr:rowOff>209550</xdr:rowOff>
    </xdr:from>
    <xdr:to>
      <xdr:col>9</xdr:col>
      <xdr:colOff>561976</xdr:colOff>
      <xdr:row>13</xdr:row>
      <xdr:rowOff>47625</xdr:rowOff>
    </xdr:to>
    <xdr:sp macro="" textlink="">
      <xdr:nvSpPr>
        <xdr:cNvPr id="14" name="Rectangle: Rounded Corners 13">
          <a:hlinkClick xmlns:r="http://schemas.openxmlformats.org/officeDocument/2006/relationships" r:id="rId7"/>
          <a:extLst>
            <a:ext uri="{FF2B5EF4-FFF2-40B4-BE49-F238E27FC236}">
              <a16:creationId xmlns:a16="http://schemas.microsoft.com/office/drawing/2014/main" id="{7342C292-5F8A-4BD6-B6AD-DCD66CA4C034}"/>
            </a:ext>
          </a:extLst>
        </xdr:cNvPr>
        <xdr:cNvSpPr/>
      </xdr:nvSpPr>
      <xdr:spPr>
        <a:xfrm>
          <a:off x="4257675" y="3486150"/>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i="0" u="none" strike="noStrike">
              <a:solidFill>
                <a:schemeClr val="bg1"/>
              </a:solidFill>
              <a:effectLst/>
              <a:latin typeface="+mn-lt"/>
              <a:ea typeface="+mn-ea"/>
              <a:cs typeface="+mn-cs"/>
            </a:rPr>
            <a:t> Cash Flow</a:t>
          </a:r>
        </a:p>
      </xdr:txBody>
    </xdr:sp>
    <xdr:clientData/>
  </xdr:twoCellAnchor>
  <xdr:twoCellAnchor>
    <xdr:from>
      <xdr:col>5</xdr:col>
      <xdr:colOff>447675</xdr:colOff>
      <xdr:row>9</xdr:row>
      <xdr:rowOff>142875</xdr:rowOff>
    </xdr:from>
    <xdr:to>
      <xdr:col>9</xdr:col>
      <xdr:colOff>533401</xdr:colOff>
      <xdr:row>10</xdr:row>
      <xdr:rowOff>304800</xdr:rowOff>
    </xdr:to>
    <xdr:sp macro="" textlink="">
      <xdr:nvSpPr>
        <xdr:cNvPr id="15" name="Rectangle: Rounded Corners 14">
          <a:hlinkClick xmlns:r="http://schemas.openxmlformats.org/officeDocument/2006/relationships" r:id="rId8"/>
          <a:extLst>
            <a:ext uri="{FF2B5EF4-FFF2-40B4-BE49-F238E27FC236}">
              <a16:creationId xmlns:a16="http://schemas.microsoft.com/office/drawing/2014/main" id="{F86A97CB-0C68-4E14-A67A-3309C3EF138A}"/>
            </a:ext>
          </a:extLst>
        </xdr:cNvPr>
        <xdr:cNvSpPr/>
      </xdr:nvSpPr>
      <xdr:spPr>
        <a:xfrm>
          <a:off x="4229100" y="2771775"/>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000" b="1" i="0" u="none" strike="noStrike">
              <a:solidFill>
                <a:schemeClr val="bg1"/>
              </a:solidFill>
              <a:effectLst/>
              <a:latin typeface="+mn-lt"/>
              <a:ea typeface="+mn-ea"/>
              <a:cs typeface="+mn-cs"/>
            </a:rPr>
            <a:t> Sensitivity Analysis</a:t>
          </a:r>
        </a:p>
      </xdr:txBody>
    </xdr:sp>
    <xdr:clientData/>
  </xdr:twoCellAnchor>
  <xdr:twoCellAnchor>
    <xdr:from>
      <xdr:col>5</xdr:col>
      <xdr:colOff>476250</xdr:colOff>
      <xdr:row>4</xdr:row>
      <xdr:rowOff>314325</xdr:rowOff>
    </xdr:from>
    <xdr:to>
      <xdr:col>9</xdr:col>
      <xdr:colOff>561976</xdr:colOff>
      <xdr:row>6</xdr:row>
      <xdr:rowOff>152400</xdr:rowOff>
    </xdr:to>
    <xdr:sp macro="" textlink="">
      <xdr:nvSpPr>
        <xdr:cNvPr id="16" name="Rectangle: Rounded Corners 15">
          <a:hlinkClick xmlns:r="http://schemas.openxmlformats.org/officeDocument/2006/relationships" r:id="rId9"/>
          <a:extLst>
            <a:ext uri="{FF2B5EF4-FFF2-40B4-BE49-F238E27FC236}">
              <a16:creationId xmlns:a16="http://schemas.microsoft.com/office/drawing/2014/main" id="{B89C883C-74B7-4EF9-A4A5-D4A531BAD9FC}"/>
            </a:ext>
          </a:extLst>
        </xdr:cNvPr>
        <xdr:cNvSpPr/>
      </xdr:nvSpPr>
      <xdr:spPr>
        <a:xfrm>
          <a:off x="4257675" y="1323975"/>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i="0" u="none" strike="noStrike">
              <a:solidFill>
                <a:schemeClr val="bg1"/>
              </a:solidFill>
              <a:effectLst/>
              <a:latin typeface="+mn-lt"/>
              <a:ea typeface="+mn-ea"/>
              <a:cs typeface="+mn-cs"/>
            </a:rPr>
            <a:t> </a:t>
          </a:r>
          <a:r>
            <a:rPr lang="en-IN" sz="2000" b="1" i="0" u="none" strike="noStrike">
              <a:solidFill>
                <a:schemeClr val="bg1"/>
              </a:solidFill>
              <a:effectLst/>
              <a:latin typeface="+mn-lt"/>
              <a:ea typeface="+mn-ea"/>
              <a:cs typeface="+mn-cs"/>
            </a:rPr>
            <a:t>Scenario</a:t>
          </a:r>
          <a:endParaRPr lang="en-IN" sz="2400" b="1" i="0" u="none" strike="noStrike">
            <a:solidFill>
              <a:schemeClr val="bg1"/>
            </a:solidFill>
            <a:effectLst/>
            <a:latin typeface="+mn-lt"/>
            <a:ea typeface="+mn-ea"/>
            <a:cs typeface="+mn-cs"/>
          </a:endParaRPr>
        </a:p>
      </xdr:txBody>
    </xdr:sp>
    <xdr:clientData/>
  </xdr:twoCellAnchor>
  <xdr:twoCellAnchor>
    <xdr:from>
      <xdr:col>5</xdr:col>
      <xdr:colOff>466725</xdr:colOff>
      <xdr:row>7</xdr:row>
      <xdr:rowOff>66675</xdr:rowOff>
    </xdr:from>
    <xdr:to>
      <xdr:col>9</xdr:col>
      <xdr:colOff>552451</xdr:colOff>
      <xdr:row>8</xdr:row>
      <xdr:rowOff>228600</xdr:rowOff>
    </xdr:to>
    <xdr:sp macro="" textlink="">
      <xdr:nvSpPr>
        <xdr:cNvPr id="17" name="Rectangle: Rounded Corners 16">
          <a:hlinkClick xmlns:r="http://schemas.openxmlformats.org/officeDocument/2006/relationships" r:id="rId10"/>
          <a:extLst>
            <a:ext uri="{FF2B5EF4-FFF2-40B4-BE49-F238E27FC236}">
              <a16:creationId xmlns:a16="http://schemas.microsoft.com/office/drawing/2014/main" id="{F35B2E91-717E-41E0-B2C6-832FF0791558}"/>
            </a:ext>
          </a:extLst>
        </xdr:cNvPr>
        <xdr:cNvSpPr/>
      </xdr:nvSpPr>
      <xdr:spPr>
        <a:xfrm>
          <a:off x="4248150" y="2047875"/>
          <a:ext cx="2524126" cy="485775"/>
        </a:xfrm>
        <a:prstGeom prst="roundRect">
          <a:avLst/>
        </a:prstGeom>
        <a:solidFill>
          <a:srgbClr val="002060"/>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2400" b="1" i="0" u="none" strike="noStrike">
              <a:solidFill>
                <a:schemeClr val="bg1"/>
              </a:solidFill>
              <a:effectLst/>
              <a:latin typeface="+mn-lt"/>
              <a:ea typeface="+mn-ea"/>
              <a:cs typeface="+mn-cs"/>
            </a:rPr>
            <a:t> </a:t>
          </a:r>
          <a:r>
            <a:rPr lang="en-IN" sz="2000" b="1" i="0" u="none" strike="noStrike">
              <a:solidFill>
                <a:schemeClr val="bg1"/>
              </a:solidFill>
              <a:effectLst/>
              <a:latin typeface="+mn-lt"/>
              <a:ea typeface="+mn-ea"/>
              <a:cs typeface="+mn-cs"/>
            </a:rPr>
            <a:t>Schedules</a:t>
          </a:r>
          <a:endParaRPr lang="en-IN" sz="2400" b="1" i="0" u="none" strike="noStrike">
            <a:solidFill>
              <a:schemeClr val="bg1"/>
            </a:solidFill>
            <a:effectLst/>
            <a:latin typeface="+mn-lt"/>
            <a:ea typeface="+mn-ea"/>
            <a:cs typeface="+mn-cs"/>
          </a:endParaRPr>
        </a:p>
      </xdr:txBody>
    </xdr:sp>
    <xdr:clientData/>
  </xdr:twoCellAnchor>
  <xdr:twoCellAnchor editAs="oneCell">
    <xdr:from>
      <xdr:col>7</xdr:col>
      <xdr:colOff>271181</xdr:colOff>
      <xdr:row>16</xdr:row>
      <xdr:rowOff>286870</xdr:rowOff>
    </xdr:from>
    <xdr:to>
      <xdr:col>9</xdr:col>
      <xdr:colOff>255676</xdr:colOff>
      <xdr:row>17</xdr:row>
      <xdr:rowOff>330763</xdr:rowOff>
    </xdr:to>
    <xdr:pic>
      <xdr:nvPicPr>
        <xdr:cNvPr id="19" name="Picture 18">
          <a:extLst>
            <a:ext uri="{FF2B5EF4-FFF2-40B4-BE49-F238E27FC236}">
              <a16:creationId xmlns:a16="http://schemas.microsoft.com/office/drawing/2014/main" id="{DCAE20BF-F0D4-A607-B149-F7F0616EFCD0}"/>
            </a:ext>
          </a:extLst>
        </xdr:cNvPr>
        <xdr:cNvPicPr>
          <a:picLocks noChangeAspect="1"/>
        </xdr:cNvPicPr>
      </xdr:nvPicPr>
      <xdr:blipFill rotWithShape="1">
        <a:blip xmlns:r="http://schemas.openxmlformats.org/officeDocument/2006/relationships" r:embed="rId11" cstate="print">
          <a:extLst>
            <a:ext uri="{28A0092B-C50C-407E-A947-70E740481C1C}">
              <a14:useLocalDpi xmlns:a14="http://schemas.microsoft.com/office/drawing/2010/main" val="0"/>
            </a:ext>
          </a:extLst>
        </a:blip>
        <a:srcRect t="32108" b="34559"/>
        <a:stretch>
          <a:fillRect/>
        </a:stretch>
      </xdr:blipFill>
      <xdr:spPr>
        <a:xfrm>
          <a:off x="4538381" y="5289176"/>
          <a:ext cx="1203695" cy="3755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480172</xdr:colOff>
      <xdr:row>4</xdr:row>
      <xdr:rowOff>72838</xdr:rowOff>
    </xdr:from>
    <xdr:to>
      <xdr:col>20</xdr:col>
      <xdr:colOff>308723</xdr:colOff>
      <xdr:row>21</xdr:row>
      <xdr:rowOff>80682</xdr:rowOff>
    </xdr:to>
    <xdr:graphicFrame macro="">
      <xdr:nvGraphicFramePr>
        <xdr:cNvPr id="5" name="Chart 4">
          <a:extLst>
            <a:ext uri="{FF2B5EF4-FFF2-40B4-BE49-F238E27FC236}">
              <a16:creationId xmlns:a16="http://schemas.microsoft.com/office/drawing/2014/main" id="{4B8ABD64-B8F1-E767-84EB-8BA562D4C16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71718</xdr:colOff>
      <xdr:row>21</xdr:row>
      <xdr:rowOff>170891</xdr:rowOff>
    </xdr:from>
    <xdr:to>
      <xdr:col>20</xdr:col>
      <xdr:colOff>195542</xdr:colOff>
      <xdr:row>35</xdr:row>
      <xdr:rowOff>105897</xdr:rowOff>
    </xdr:to>
    <xdr:graphicFrame macro="">
      <xdr:nvGraphicFramePr>
        <xdr:cNvPr id="7" name="Chart 6">
          <a:extLst>
            <a:ext uri="{FF2B5EF4-FFF2-40B4-BE49-F238E27FC236}">
              <a16:creationId xmlns:a16="http://schemas.microsoft.com/office/drawing/2014/main" id="{8FEAE32A-09F9-77AF-0A8D-C646260E5B8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7</xdr:col>
      <xdr:colOff>523875</xdr:colOff>
      <xdr:row>22</xdr:row>
      <xdr:rowOff>123825</xdr:rowOff>
    </xdr:from>
    <xdr:to>
      <xdr:col>13</xdr:col>
      <xdr:colOff>581025</xdr:colOff>
      <xdr:row>36</xdr:row>
      <xdr:rowOff>95249</xdr:rowOff>
    </xdr:to>
    <xdr:graphicFrame macro="">
      <xdr:nvGraphicFramePr>
        <xdr:cNvPr id="9" name="Chart 8">
          <a:extLst>
            <a:ext uri="{FF2B5EF4-FFF2-40B4-BE49-F238E27FC236}">
              <a16:creationId xmlns:a16="http://schemas.microsoft.com/office/drawing/2014/main" id="{939C8F4C-88BE-BBF4-FC16-74133417A84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662267</xdr:colOff>
      <xdr:row>10</xdr:row>
      <xdr:rowOff>1121</xdr:rowOff>
    </xdr:from>
    <xdr:to>
      <xdr:col>13</xdr:col>
      <xdr:colOff>372595</xdr:colOff>
      <xdr:row>22</xdr:row>
      <xdr:rowOff>66115</xdr:rowOff>
    </xdr:to>
    <xdr:graphicFrame macro="">
      <xdr:nvGraphicFramePr>
        <xdr:cNvPr id="12" name="Chart 11">
          <a:extLst>
            <a:ext uri="{FF2B5EF4-FFF2-40B4-BE49-F238E27FC236}">
              <a16:creationId xmlns:a16="http://schemas.microsoft.com/office/drawing/2014/main" id="{E1A33401-D5FC-7EEB-9075-40A88FD26A0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551330</xdr:colOff>
      <xdr:row>20</xdr:row>
      <xdr:rowOff>178174</xdr:rowOff>
    </xdr:from>
    <xdr:to>
      <xdr:col>5</xdr:col>
      <xdr:colOff>770405</xdr:colOff>
      <xdr:row>35</xdr:row>
      <xdr:rowOff>8965</xdr:rowOff>
    </xdr:to>
    <xdr:graphicFrame macro="">
      <xdr:nvGraphicFramePr>
        <xdr:cNvPr id="13" name="Chart 12">
          <a:extLst>
            <a:ext uri="{FF2B5EF4-FFF2-40B4-BE49-F238E27FC236}">
              <a16:creationId xmlns:a16="http://schemas.microsoft.com/office/drawing/2014/main" id="{4921CBAB-F919-C188-805B-756D9705B96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12</xdr:col>
      <xdr:colOff>419099</xdr:colOff>
      <xdr:row>1</xdr:row>
      <xdr:rowOff>180974</xdr:rowOff>
    </xdr:from>
    <xdr:to>
      <xdr:col>15</xdr:col>
      <xdr:colOff>85725</xdr:colOff>
      <xdr:row>4</xdr:row>
      <xdr:rowOff>114300</xdr:rowOff>
    </xdr:to>
    <xdr:sp macro="" textlink="">
      <xdr:nvSpPr>
        <xdr:cNvPr id="2" name="Rectangle: Rounded Corners 1">
          <a:hlinkClick xmlns:r="http://schemas.openxmlformats.org/officeDocument/2006/relationships" r:id="rId6"/>
          <a:extLst>
            <a:ext uri="{FF2B5EF4-FFF2-40B4-BE49-F238E27FC236}">
              <a16:creationId xmlns:a16="http://schemas.microsoft.com/office/drawing/2014/main" id="{39ED0672-B787-C422-885E-D3DB32BD50FB}"/>
            </a:ext>
          </a:extLst>
        </xdr:cNvPr>
        <xdr:cNvSpPr/>
      </xdr:nvSpPr>
      <xdr:spPr>
        <a:xfrm>
          <a:off x="11630024" y="361949"/>
          <a:ext cx="1495426" cy="476251"/>
        </a:xfrm>
        <a:prstGeom prst="roundRect">
          <a:avLst/>
        </a:prstGeom>
        <a:solidFill>
          <a:schemeClr val="bg1"/>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b="1">
              <a:solidFill>
                <a:schemeClr val="tx1"/>
              </a:solidFill>
            </a:rPr>
            <a:t>2028 Net Margin</a:t>
          </a:r>
          <a:endParaRPr lang="en-IN" sz="1100" b="1">
            <a:solidFill>
              <a:schemeClr val="tx1"/>
            </a:solidFill>
          </a:endParaRPr>
        </a:p>
      </xdr:txBody>
    </xdr:sp>
    <xdr:clientData/>
  </xdr:twoCellAnchor>
  <xdr:twoCellAnchor>
    <xdr:from>
      <xdr:col>11</xdr:col>
      <xdr:colOff>85725</xdr:colOff>
      <xdr:row>5</xdr:row>
      <xdr:rowOff>171449</xdr:rowOff>
    </xdr:from>
    <xdr:to>
      <xdr:col>13</xdr:col>
      <xdr:colOff>342900</xdr:colOff>
      <xdr:row>8</xdr:row>
      <xdr:rowOff>95250</xdr:rowOff>
    </xdr:to>
    <xdr:sp macro="" textlink="$F$7">
      <xdr:nvSpPr>
        <xdr:cNvPr id="3" name="Rectangle: Rounded Corners 2">
          <a:hlinkClick xmlns:r="http://schemas.openxmlformats.org/officeDocument/2006/relationships" r:id="rId7"/>
          <a:extLst>
            <a:ext uri="{FF2B5EF4-FFF2-40B4-BE49-F238E27FC236}">
              <a16:creationId xmlns:a16="http://schemas.microsoft.com/office/drawing/2014/main" id="{F424E6CA-092A-4B43-8556-EFA267C193FB}"/>
            </a:ext>
          </a:extLst>
        </xdr:cNvPr>
        <xdr:cNvSpPr/>
      </xdr:nvSpPr>
      <xdr:spPr>
        <a:xfrm>
          <a:off x="10687050" y="1076324"/>
          <a:ext cx="1476375" cy="466726"/>
        </a:xfrm>
        <a:prstGeom prst="roundRect">
          <a:avLst/>
        </a:prstGeom>
        <a:solidFill>
          <a:schemeClr val="bg1"/>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effectLst/>
              <a:latin typeface="+mn-lt"/>
              <a:ea typeface="+mn-ea"/>
              <a:cs typeface="+mn-cs"/>
            </a:rPr>
            <a:t>2028 Net Income</a:t>
          </a:r>
          <a:endParaRPr lang="en-IN">
            <a:solidFill>
              <a:sysClr val="windowText" lastClr="000000"/>
            </a:solidFill>
            <a:effectLst/>
          </a:endParaRPr>
        </a:p>
      </xdr:txBody>
    </xdr:sp>
    <xdr:clientData/>
  </xdr:twoCellAnchor>
  <xdr:twoCellAnchor>
    <xdr:from>
      <xdr:col>9</xdr:col>
      <xdr:colOff>409576</xdr:colOff>
      <xdr:row>2</xdr:row>
      <xdr:rowOff>28574</xdr:rowOff>
    </xdr:from>
    <xdr:to>
      <xdr:col>12</xdr:col>
      <xdr:colOff>66676</xdr:colOff>
      <xdr:row>4</xdr:row>
      <xdr:rowOff>161926</xdr:rowOff>
    </xdr:to>
    <xdr:sp macro="" textlink="$F$5">
      <xdr:nvSpPr>
        <xdr:cNvPr id="4" name="Rectangle: Rounded Corners 3">
          <a:hlinkClick xmlns:r="http://schemas.openxmlformats.org/officeDocument/2006/relationships" r:id="rId8"/>
          <a:extLst>
            <a:ext uri="{FF2B5EF4-FFF2-40B4-BE49-F238E27FC236}">
              <a16:creationId xmlns:a16="http://schemas.microsoft.com/office/drawing/2014/main" id="{545D8C52-4CAE-424C-97A6-602E5828AA56}"/>
            </a:ext>
          </a:extLst>
        </xdr:cNvPr>
        <xdr:cNvSpPr/>
      </xdr:nvSpPr>
      <xdr:spPr>
        <a:xfrm>
          <a:off x="9791701" y="390524"/>
          <a:ext cx="1485900" cy="495302"/>
        </a:xfrm>
        <a:prstGeom prst="roundRect">
          <a:avLst/>
        </a:prstGeom>
        <a:solidFill>
          <a:schemeClr val="bg1"/>
        </a:solidFill>
        <a:ln w="19050">
          <a:solidFill>
            <a:schemeClr val="tx1"/>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IN" sz="1100" b="1">
              <a:solidFill>
                <a:sysClr val="windowText" lastClr="000000"/>
              </a:solidFill>
              <a:effectLst/>
              <a:latin typeface="+mn-lt"/>
              <a:ea typeface="+mn-ea"/>
              <a:cs typeface="+mn-cs"/>
            </a:rPr>
            <a:t>2028</a:t>
          </a:r>
          <a:r>
            <a:rPr lang="en-IN" sz="1100">
              <a:solidFill>
                <a:sysClr val="windowText" lastClr="000000"/>
              </a:solidFill>
              <a:effectLst/>
              <a:latin typeface="+mn-lt"/>
              <a:ea typeface="+mn-ea"/>
              <a:cs typeface="+mn-cs"/>
            </a:rPr>
            <a:t> </a:t>
          </a:r>
          <a:r>
            <a:rPr lang="en-IN" sz="1100" b="1">
              <a:solidFill>
                <a:sysClr val="windowText" lastClr="000000"/>
              </a:solidFill>
              <a:effectLst/>
              <a:latin typeface="+mn-lt"/>
              <a:ea typeface="+mn-ea"/>
              <a:cs typeface="+mn-cs"/>
            </a:rPr>
            <a:t>Revenue</a:t>
          </a:r>
          <a:endParaRPr lang="en-IN">
            <a:solidFill>
              <a:sysClr val="windowText" lastClr="000000"/>
            </a:solidFill>
            <a:effectLst/>
          </a:endParaRPr>
        </a:p>
      </xdr:txBody>
    </xdr:sp>
    <xdr:clientData/>
  </xdr:twoCellAnchor>
  <xdr:twoCellAnchor editAs="oneCell">
    <xdr:from>
      <xdr:col>17</xdr:col>
      <xdr:colOff>206750</xdr:colOff>
      <xdr:row>0</xdr:row>
      <xdr:rowOff>161364</xdr:rowOff>
    </xdr:from>
    <xdr:to>
      <xdr:col>19</xdr:col>
      <xdr:colOff>530599</xdr:colOff>
      <xdr:row>3</xdr:row>
      <xdr:rowOff>103172</xdr:rowOff>
    </xdr:to>
    <xdr:pic>
      <xdr:nvPicPr>
        <xdr:cNvPr id="10" name="Picture 9">
          <a:extLst>
            <a:ext uri="{FF2B5EF4-FFF2-40B4-BE49-F238E27FC236}">
              <a16:creationId xmlns:a16="http://schemas.microsoft.com/office/drawing/2014/main" id="{601FB49E-50B7-46A7-85C9-A1DAB7A7EEBC}"/>
            </a:ext>
          </a:extLst>
        </xdr:cNvPr>
        <xdr:cNvPicPr>
          <a:picLocks noChangeAspect="1"/>
        </xdr:cNvPicPr>
      </xdr:nvPicPr>
      <xdr:blipFill rotWithShape="1">
        <a:blip xmlns:r="http://schemas.openxmlformats.org/officeDocument/2006/relationships" r:embed="rId9" cstate="print">
          <a:extLst>
            <a:ext uri="{28A0092B-C50C-407E-A947-70E740481C1C}">
              <a14:useLocalDpi xmlns:a14="http://schemas.microsoft.com/office/drawing/2010/main" val="0"/>
            </a:ext>
          </a:extLst>
        </a:blip>
        <a:srcRect t="32108" b="34559"/>
        <a:stretch>
          <a:fillRect/>
        </a:stretch>
      </xdr:blipFill>
      <xdr:spPr>
        <a:xfrm>
          <a:off x="14855079" y="161364"/>
          <a:ext cx="1543049" cy="47969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14</xdr:col>
      <xdr:colOff>274872</xdr:colOff>
      <xdr:row>0</xdr:row>
      <xdr:rowOff>0</xdr:rowOff>
    </xdr:from>
    <xdr:to>
      <xdr:col>16</xdr:col>
      <xdr:colOff>598721</xdr:colOff>
      <xdr:row>2</xdr:row>
      <xdr:rowOff>116560</xdr:rowOff>
    </xdr:to>
    <xdr:pic>
      <xdr:nvPicPr>
        <xdr:cNvPr id="2" name="Picture 1">
          <a:extLst>
            <a:ext uri="{FF2B5EF4-FFF2-40B4-BE49-F238E27FC236}">
              <a16:creationId xmlns:a16="http://schemas.microsoft.com/office/drawing/2014/main" id="{3299C5BF-3622-480C-B23E-AAC3110A612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2108" b="34559"/>
        <a:stretch>
          <a:fillRect/>
        </a:stretch>
      </xdr:blipFill>
      <xdr:spPr>
        <a:xfrm>
          <a:off x="9266472" y="0"/>
          <a:ext cx="1543049" cy="47514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278652</xdr:colOff>
      <xdr:row>0</xdr:row>
      <xdr:rowOff>0</xdr:rowOff>
    </xdr:from>
    <xdr:to>
      <xdr:col>13</xdr:col>
      <xdr:colOff>602501</xdr:colOff>
      <xdr:row>2</xdr:row>
      <xdr:rowOff>111577</xdr:rowOff>
    </xdr:to>
    <xdr:pic>
      <xdr:nvPicPr>
        <xdr:cNvPr id="2" name="Picture 1">
          <a:extLst>
            <a:ext uri="{FF2B5EF4-FFF2-40B4-BE49-F238E27FC236}">
              <a16:creationId xmlns:a16="http://schemas.microsoft.com/office/drawing/2014/main" id="{6C10D606-6BD6-495B-80DD-24D8965CF12D}"/>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2108" b="34559"/>
        <a:stretch>
          <a:fillRect/>
        </a:stretch>
      </xdr:blipFill>
      <xdr:spPr>
        <a:xfrm>
          <a:off x="9610911" y="0"/>
          <a:ext cx="1543049" cy="47016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14</xdr:col>
      <xdr:colOff>285078</xdr:colOff>
      <xdr:row>0</xdr:row>
      <xdr:rowOff>0</xdr:rowOff>
    </xdr:from>
    <xdr:to>
      <xdr:col>16</xdr:col>
      <xdr:colOff>608927</xdr:colOff>
      <xdr:row>2</xdr:row>
      <xdr:rowOff>115387</xdr:rowOff>
    </xdr:to>
    <xdr:pic>
      <xdr:nvPicPr>
        <xdr:cNvPr id="2" name="Picture 1">
          <a:extLst>
            <a:ext uri="{FF2B5EF4-FFF2-40B4-BE49-F238E27FC236}">
              <a16:creationId xmlns:a16="http://schemas.microsoft.com/office/drawing/2014/main" id="{40806233-DD25-4ACB-85FB-9D07F185D054}"/>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2108" b="34559"/>
        <a:stretch>
          <a:fillRect/>
        </a:stretch>
      </xdr:blipFill>
      <xdr:spPr>
        <a:xfrm>
          <a:off x="10809643" y="0"/>
          <a:ext cx="1543049" cy="4739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113339</xdr:colOff>
      <xdr:row>0</xdr:row>
      <xdr:rowOff>17929</xdr:rowOff>
    </xdr:from>
    <xdr:to>
      <xdr:col>12</xdr:col>
      <xdr:colOff>564776</xdr:colOff>
      <xdr:row>2</xdr:row>
      <xdr:rowOff>166448</xdr:rowOff>
    </xdr:to>
    <xdr:pic>
      <xdr:nvPicPr>
        <xdr:cNvPr id="2" name="Picture 1">
          <a:extLst>
            <a:ext uri="{FF2B5EF4-FFF2-40B4-BE49-F238E27FC236}">
              <a16:creationId xmlns:a16="http://schemas.microsoft.com/office/drawing/2014/main" id="{90F4BD18-631F-47BC-82EF-F3EF1ABDA51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2108" b="34559"/>
        <a:stretch>
          <a:fillRect/>
        </a:stretch>
      </xdr:blipFill>
      <xdr:spPr>
        <a:xfrm>
          <a:off x="10055198" y="17929"/>
          <a:ext cx="1670637" cy="507107"/>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367551</xdr:colOff>
      <xdr:row>0</xdr:row>
      <xdr:rowOff>0</xdr:rowOff>
    </xdr:from>
    <xdr:to>
      <xdr:col>11</xdr:col>
      <xdr:colOff>542200</xdr:colOff>
      <xdr:row>2</xdr:row>
      <xdr:rowOff>65435</xdr:rowOff>
    </xdr:to>
    <xdr:pic>
      <xdr:nvPicPr>
        <xdr:cNvPr id="2" name="Picture 1">
          <a:extLst>
            <a:ext uri="{FF2B5EF4-FFF2-40B4-BE49-F238E27FC236}">
              <a16:creationId xmlns:a16="http://schemas.microsoft.com/office/drawing/2014/main" id="{2D0B9C49-3853-4F54-9546-D0C74B4418E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2108" b="34559"/>
        <a:stretch>
          <a:fillRect/>
        </a:stretch>
      </xdr:blipFill>
      <xdr:spPr>
        <a:xfrm>
          <a:off x="9511551" y="0"/>
          <a:ext cx="1393849" cy="42402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12</xdr:col>
      <xdr:colOff>349622</xdr:colOff>
      <xdr:row>0</xdr:row>
      <xdr:rowOff>8964</xdr:rowOff>
    </xdr:from>
    <xdr:to>
      <xdr:col>14</xdr:col>
      <xdr:colOff>490255</xdr:colOff>
      <xdr:row>2</xdr:row>
      <xdr:rowOff>73423</xdr:rowOff>
    </xdr:to>
    <xdr:pic>
      <xdr:nvPicPr>
        <xdr:cNvPr id="2" name="Picture 1">
          <a:extLst>
            <a:ext uri="{FF2B5EF4-FFF2-40B4-BE49-F238E27FC236}">
              <a16:creationId xmlns:a16="http://schemas.microsoft.com/office/drawing/2014/main" id="{5BC66211-1EC2-4BAF-AAFD-C1AF07E02E1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2108" b="34559"/>
        <a:stretch>
          <a:fillRect/>
        </a:stretch>
      </xdr:blipFill>
      <xdr:spPr>
        <a:xfrm>
          <a:off x="9986681" y="8964"/>
          <a:ext cx="1359833" cy="423047"/>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14</xdr:col>
      <xdr:colOff>278801</xdr:colOff>
      <xdr:row>0</xdr:row>
      <xdr:rowOff>0</xdr:rowOff>
    </xdr:from>
    <xdr:to>
      <xdr:col>16</xdr:col>
      <xdr:colOff>602650</xdr:colOff>
      <xdr:row>2</xdr:row>
      <xdr:rowOff>115387</xdr:rowOff>
    </xdr:to>
    <xdr:pic>
      <xdr:nvPicPr>
        <xdr:cNvPr id="2" name="Picture 1">
          <a:extLst>
            <a:ext uri="{FF2B5EF4-FFF2-40B4-BE49-F238E27FC236}">
              <a16:creationId xmlns:a16="http://schemas.microsoft.com/office/drawing/2014/main" id="{E33D2783-F81F-45E7-B22F-EB814D58500F}"/>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2108" b="34559"/>
        <a:stretch>
          <a:fillRect/>
        </a:stretch>
      </xdr:blipFill>
      <xdr:spPr>
        <a:xfrm>
          <a:off x="10659930" y="0"/>
          <a:ext cx="1543049" cy="4739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284878</xdr:colOff>
      <xdr:row>0</xdr:row>
      <xdr:rowOff>17929</xdr:rowOff>
    </xdr:from>
    <xdr:to>
      <xdr:col>13</xdr:col>
      <xdr:colOff>608727</xdr:colOff>
      <xdr:row>2</xdr:row>
      <xdr:rowOff>129314</xdr:rowOff>
    </xdr:to>
    <xdr:pic>
      <xdr:nvPicPr>
        <xdr:cNvPr id="2" name="Picture 1">
          <a:extLst>
            <a:ext uri="{FF2B5EF4-FFF2-40B4-BE49-F238E27FC236}">
              <a16:creationId xmlns:a16="http://schemas.microsoft.com/office/drawing/2014/main" id="{5004E647-66B2-4C81-AF18-C476A91C818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32108" b="34559"/>
        <a:stretch>
          <a:fillRect/>
        </a:stretch>
      </xdr:blipFill>
      <xdr:spPr>
        <a:xfrm>
          <a:off x="10468784" y="17929"/>
          <a:ext cx="1543049" cy="46997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8" row="7">
    <wetp:webextensionref xmlns:r="http://schemas.openxmlformats.org/officeDocument/2006/relationships" r:id="rId1"/>
  </wetp:taskpane>
</wetp:taskpanes>
</file>

<file path=xl/webextensions/webextension1.xml><?xml version="1.0" encoding="utf-8"?>
<we:webextension xmlns:we="http://schemas.microsoft.com/office/webextensions/webextension/2010/11" id="{162BA131-B5F2-4725-ADEF-9F159A348C01}">
  <we:reference id="wa200001584" version="3.0.5.6" store="en-US" storeType="OMEX"/>
  <we:alternateReferences>
    <we:reference id="wa200001584" version="3.0.5.6" store="wa200001584"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V32"/>
  <sheetViews>
    <sheetView showGridLines="0" tabSelected="1" view="pageBreakPreview" zoomScale="85" zoomScaleNormal="85" zoomScaleSheetLayoutView="85" workbookViewId="0">
      <selection activeCell="V22" sqref="V22"/>
    </sheetView>
  </sheetViews>
  <sheetFormatPr defaultRowHeight="14.4" x14ac:dyDescent="0.3"/>
  <sheetData>
    <row r="2" spans="1:22" x14ac:dyDescent="0.3">
      <c r="A2" s="78"/>
      <c r="B2" s="79"/>
      <c r="C2" s="17"/>
      <c r="D2" s="17"/>
      <c r="E2" s="17"/>
      <c r="F2" s="17"/>
    </row>
    <row r="3" spans="1:22" ht="25.8" x14ac:dyDescent="0.5">
      <c r="A3" s="77"/>
      <c r="B3" s="77"/>
      <c r="C3" s="77"/>
      <c r="D3" s="77"/>
      <c r="E3" s="77"/>
      <c r="F3" s="18"/>
      <c r="G3" s="19"/>
      <c r="H3" s="19"/>
    </row>
    <row r="4" spans="1:22" ht="25.8" x14ac:dyDescent="0.5">
      <c r="A4" s="77"/>
      <c r="B4" s="77"/>
      <c r="C4" s="77"/>
      <c r="D4" s="77"/>
      <c r="E4" s="77"/>
      <c r="F4" s="18"/>
      <c r="G4" s="19"/>
      <c r="H4" s="19"/>
    </row>
    <row r="5" spans="1:22" ht="25.8" x14ac:dyDescent="0.5">
      <c r="A5" s="77"/>
      <c r="B5" s="77"/>
      <c r="C5" s="77"/>
      <c r="D5" s="77"/>
      <c r="E5" s="77"/>
      <c r="F5" s="18"/>
      <c r="G5" s="19"/>
      <c r="H5" s="19"/>
    </row>
    <row r="6" spans="1:22" ht="25.8" x14ac:dyDescent="0.5">
      <c r="A6" s="19"/>
      <c r="B6" s="19"/>
      <c r="C6" s="19"/>
      <c r="D6" s="19"/>
      <c r="E6" s="19"/>
      <c r="F6" s="18"/>
      <c r="G6" s="19"/>
      <c r="H6" s="19"/>
      <c r="J6" s="20"/>
      <c r="K6" s="20"/>
      <c r="L6" s="20"/>
      <c r="M6" s="20"/>
    </row>
    <row r="7" spans="1:22" ht="25.8" x14ac:dyDescent="0.5">
      <c r="A7" s="19"/>
      <c r="B7" s="80"/>
      <c r="C7" s="80"/>
      <c r="D7" s="80"/>
      <c r="E7" s="80"/>
      <c r="F7" s="18"/>
      <c r="G7" s="19"/>
      <c r="H7" s="19"/>
      <c r="J7" s="20"/>
      <c r="K7" s="20"/>
      <c r="L7" s="20"/>
      <c r="M7" s="20"/>
    </row>
    <row r="8" spans="1:22" ht="25.8" x14ac:dyDescent="0.5">
      <c r="A8" s="19"/>
      <c r="B8" s="80"/>
      <c r="C8" s="80"/>
      <c r="D8" s="80"/>
      <c r="E8" s="80"/>
      <c r="F8" s="19"/>
      <c r="G8" s="19"/>
      <c r="H8" s="19"/>
      <c r="J8" s="20"/>
      <c r="K8" s="20"/>
      <c r="L8" s="20"/>
      <c r="M8" s="20"/>
    </row>
    <row r="9" spans="1:22" ht="25.8" x14ac:dyDescent="0.5">
      <c r="A9" s="19"/>
      <c r="B9" s="19"/>
      <c r="C9" s="19"/>
      <c r="D9" s="19"/>
      <c r="E9" s="19"/>
      <c r="F9" s="19"/>
      <c r="G9" s="19"/>
      <c r="H9" s="19"/>
      <c r="J9" s="20"/>
      <c r="K9" s="20"/>
      <c r="L9" s="20"/>
      <c r="M9" s="20"/>
    </row>
    <row r="10" spans="1:22" ht="25.8" x14ac:dyDescent="0.5">
      <c r="A10" s="19"/>
      <c r="F10" s="19"/>
      <c r="G10" s="19"/>
      <c r="H10" s="19"/>
      <c r="J10" s="20"/>
      <c r="K10" s="20"/>
      <c r="L10" s="20"/>
      <c r="M10" s="20"/>
    </row>
    <row r="11" spans="1:22" ht="25.8" x14ac:dyDescent="0.5">
      <c r="A11" s="19"/>
      <c r="F11" s="19"/>
      <c r="G11" s="19"/>
      <c r="H11" s="19"/>
      <c r="J11" s="20"/>
      <c r="K11" s="20"/>
      <c r="L11" s="20"/>
      <c r="M11" s="20"/>
    </row>
    <row r="12" spans="1:22" ht="25.8" x14ac:dyDescent="0.5">
      <c r="A12" s="19"/>
      <c r="F12" s="19"/>
      <c r="G12" s="19"/>
      <c r="H12" s="19"/>
      <c r="J12" s="20"/>
      <c r="K12" s="20"/>
      <c r="L12" s="20"/>
      <c r="M12" s="20"/>
    </row>
    <row r="13" spans="1:22" ht="25.8" x14ac:dyDescent="0.5">
      <c r="A13" s="19"/>
      <c r="F13" s="19"/>
      <c r="G13" s="19"/>
      <c r="H13" s="19"/>
      <c r="J13" s="20"/>
      <c r="K13" s="20"/>
      <c r="L13" s="20"/>
      <c r="M13" s="20"/>
    </row>
    <row r="14" spans="1:22" ht="25.8" x14ac:dyDescent="0.5">
      <c r="A14" s="19"/>
      <c r="F14" s="19"/>
      <c r="G14" s="19"/>
      <c r="H14" s="19"/>
      <c r="J14" s="20"/>
      <c r="K14" s="20"/>
      <c r="L14" s="20"/>
      <c r="M14" s="20"/>
    </row>
    <row r="15" spans="1:22" ht="25.8" x14ac:dyDescent="0.5">
      <c r="A15" s="19"/>
      <c r="F15" s="19"/>
      <c r="G15" s="19"/>
      <c r="H15" s="19"/>
    </row>
    <row r="16" spans="1:22" ht="25.8" customHeight="1" x14ac:dyDescent="0.5">
      <c r="A16" s="19"/>
      <c r="F16" s="19"/>
      <c r="G16" s="19"/>
      <c r="H16" s="19"/>
      <c r="L16" s="75" t="s">
        <v>128</v>
      </c>
      <c r="M16" s="75"/>
      <c r="N16" s="75"/>
      <c r="O16" s="75"/>
      <c r="P16" s="75"/>
      <c r="Q16" s="75"/>
      <c r="R16" s="75"/>
      <c r="S16" s="75"/>
      <c r="T16" s="28"/>
      <c r="U16" s="28"/>
      <c r="V16" s="28"/>
    </row>
    <row r="17" spans="1:22" ht="25.8" x14ac:dyDescent="0.5">
      <c r="A17" s="19"/>
      <c r="F17" s="19"/>
      <c r="G17" s="19"/>
      <c r="H17" s="19"/>
      <c r="K17" s="28"/>
      <c r="L17" s="75"/>
      <c r="M17" s="75"/>
      <c r="N17" s="75"/>
      <c r="O17" s="75"/>
      <c r="P17" s="75"/>
      <c r="Q17" s="75"/>
      <c r="R17" s="75"/>
      <c r="S17" s="75"/>
      <c r="T17" s="28"/>
      <c r="U17" s="28"/>
      <c r="V17" s="28"/>
    </row>
    <row r="18" spans="1:22" ht="25.8" x14ac:dyDescent="0.5">
      <c r="A18" s="72" t="s">
        <v>126</v>
      </c>
      <c r="B18" s="72"/>
      <c r="C18" s="73" t="s">
        <v>127</v>
      </c>
      <c r="D18" s="73"/>
      <c r="E18" s="73"/>
      <c r="F18" s="73"/>
      <c r="G18" s="73"/>
      <c r="H18" s="22"/>
      <c r="K18" s="28"/>
      <c r="L18" s="75"/>
      <c r="M18" s="75"/>
      <c r="N18" s="75"/>
      <c r="O18" s="75"/>
      <c r="P18" s="75"/>
      <c r="Q18" s="75"/>
      <c r="R18" s="75"/>
      <c r="S18" s="75"/>
      <c r="T18" s="28"/>
      <c r="U18" s="28"/>
      <c r="V18" s="28"/>
    </row>
    <row r="19" spans="1:22" ht="25.8" x14ac:dyDescent="0.5">
      <c r="A19" s="19"/>
      <c r="B19" s="74"/>
      <c r="C19" s="74"/>
      <c r="D19" s="74"/>
      <c r="E19" s="74"/>
      <c r="F19" s="19"/>
      <c r="G19" s="19"/>
      <c r="H19" s="19"/>
      <c r="L19" s="75"/>
      <c r="M19" s="75"/>
      <c r="N19" s="75"/>
      <c r="O19" s="75"/>
      <c r="P19" s="75"/>
      <c r="Q19" s="75"/>
      <c r="R19" s="75"/>
      <c r="S19" s="75"/>
    </row>
    <row r="20" spans="1:22" ht="25.8" x14ac:dyDescent="0.5">
      <c r="A20" s="19"/>
      <c r="B20" s="74"/>
      <c r="C20" s="74"/>
      <c r="D20" s="74"/>
      <c r="E20" s="74"/>
      <c r="F20" s="19"/>
      <c r="G20" s="19"/>
      <c r="H20" s="19"/>
      <c r="L20" s="75"/>
      <c r="M20" s="75"/>
      <c r="N20" s="75"/>
      <c r="O20" s="75"/>
      <c r="P20" s="75"/>
      <c r="Q20" s="75"/>
      <c r="R20" s="75"/>
      <c r="S20" s="75"/>
    </row>
    <row r="21" spans="1:22" ht="25.8" x14ac:dyDescent="0.5">
      <c r="A21" s="19"/>
      <c r="B21" s="74"/>
      <c r="C21" s="74"/>
      <c r="D21" s="74"/>
      <c r="E21" s="74"/>
      <c r="F21" s="19"/>
      <c r="G21" s="19"/>
      <c r="H21" s="19"/>
      <c r="L21" s="76" t="s">
        <v>129</v>
      </c>
      <c r="M21" s="76"/>
      <c r="N21" s="76"/>
      <c r="O21" s="76"/>
      <c r="P21" s="76"/>
      <c r="Q21" s="76"/>
      <c r="R21" s="76"/>
      <c r="S21" s="76"/>
    </row>
    <row r="22" spans="1:22" ht="25.8" x14ac:dyDescent="0.5">
      <c r="A22" s="19"/>
      <c r="B22" s="74"/>
      <c r="C22" s="74"/>
      <c r="D22" s="74"/>
      <c r="E22" s="74"/>
      <c r="F22" s="19"/>
      <c r="G22" s="19"/>
      <c r="H22" s="19"/>
      <c r="L22" s="76"/>
      <c r="M22" s="76"/>
      <c r="N22" s="76"/>
      <c r="O22" s="76"/>
      <c r="P22" s="76"/>
      <c r="Q22" s="76"/>
      <c r="R22" s="76"/>
      <c r="S22" s="76"/>
    </row>
    <row r="23" spans="1:22" x14ac:dyDescent="0.3">
      <c r="B23" s="71"/>
      <c r="C23" s="71"/>
      <c r="D23" s="71"/>
      <c r="E23" s="71"/>
    </row>
    <row r="24" spans="1:22" x14ac:dyDescent="0.3">
      <c r="B24" s="71"/>
      <c r="C24" s="71"/>
      <c r="D24" s="71"/>
      <c r="E24" s="71"/>
    </row>
    <row r="25" spans="1:22" x14ac:dyDescent="0.3">
      <c r="B25" s="71"/>
      <c r="C25" s="71"/>
      <c r="D25" s="71"/>
      <c r="E25" s="71"/>
    </row>
    <row r="26" spans="1:22" x14ac:dyDescent="0.3">
      <c r="B26" s="71"/>
      <c r="C26" s="71"/>
      <c r="D26" s="71"/>
      <c r="E26" s="71"/>
    </row>
    <row r="27" spans="1:22" x14ac:dyDescent="0.3">
      <c r="B27" s="71"/>
      <c r="C27" s="71"/>
      <c r="D27" s="71"/>
      <c r="E27" s="71"/>
    </row>
    <row r="28" spans="1:22" x14ac:dyDescent="0.3">
      <c r="B28" s="71"/>
      <c r="C28" s="71"/>
      <c r="D28" s="71"/>
      <c r="E28" s="71"/>
    </row>
    <row r="29" spans="1:22" x14ac:dyDescent="0.3">
      <c r="B29" s="71"/>
      <c r="C29" s="71"/>
      <c r="D29" s="71"/>
      <c r="E29" s="71"/>
    </row>
    <row r="30" spans="1:22" x14ac:dyDescent="0.3">
      <c r="B30" s="71"/>
      <c r="C30" s="71"/>
      <c r="D30" s="71"/>
      <c r="E30" s="71"/>
    </row>
    <row r="31" spans="1:22" x14ac:dyDescent="0.3">
      <c r="B31" s="71"/>
      <c r="C31" s="71"/>
      <c r="D31" s="71"/>
      <c r="E31" s="71"/>
    </row>
    <row r="32" spans="1:22" x14ac:dyDescent="0.3">
      <c r="B32" s="71"/>
      <c r="C32" s="71"/>
      <c r="D32" s="71"/>
      <c r="E32" s="71"/>
    </row>
  </sheetData>
  <sheetProtection algorithmName="SHA-512" hashValue="0vwH9LAgygQ+773uCEW8kEHKCLsIulQgXFGcr/Dg6Jm86JUIdXszvJvtna0UibRIf2+Oc28nFPQDjirwl9l/Ig==" saltValue="4nO94xhR1BKbTu4m9jR3bA==" spinCount="100000" sheet="1" objects="1" scenarios="1"/>
  <mergeCells count="21">
    <mergeCell ref="L16:S20"/>
    <mergeCell ref="L21:S22"/>
    <mergeCell ref="A3:E5"/>
    <mergeCell ref="A2:B2"/>
    <mergeCell ref="B7:E8"/>
    <mergeCell ref="B19:E19"/>
    <mergeCell ref="B20:E20"/>
    <mergeCell ref="B31:E31"/>
    <mergeCell ref="B32:E32"/>
    <mergeCell ref="A18:B18"/>
    <mergeCell ref="C18:G18"/>
    <mergeCell ref="B26:E26"/>
    <mergeCell ref="B27:E27"/>
    <mergeCell ref="B28:E28"/>
    <mergeCell ref="B29:E29"/>
    <mergeCell ref="B30:E30"/>
    <mergeCell ref="B21:E21"/>
    <mergeCell ref="B22:E22"/>
    <mergeCell ref="B23:E23"/>
    <mergeCell ref="B24:E24"/>
    <mergeCell ref="B25:E25"/>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7CCF6-B965-4E06-8B05-623CEC03FFD0}">
  <dimension ref="A4:K21"/>
  <sheetViews>
    <sheetView showGridLines="0" view="pageBreakPreview" zoomScale="85" zoomScaleNormal="85" zoomScaleSheetLayoutView="85" workbookViewId="0">
      <selection activeCell="G9" sqref="G9"/>
    </sheetView>
  </sheetViews>
  <sheetFormatPr defaultRowHeight="14.4" x14ac:dyDescent="0.3"/>
  <cols>
    <col min="1" max="1" width="26.33203125" customWidth="1"/>
    <col min="2" max="6" width="14.6640625" bestFit="1" customWidth="1"/>
    <col min="8" max="8" width="19" customWidth="1"/>
    <col min="9" max="9" width="15.109375" customWidth="1"/>
  </cols>
  <sheetData>
    <row r="4" spans="1:11" x14ac:dyDescent="0.3">
      <c r="A4" s="60"/>
      <c r="B4" s="61">
        <v>2024</v>
      </c>
      <c r="C4" s="61">
        <v>2025</v>
      </c>
      <c r="D4" s="61">
        <v>2026</v>
      </c>
      <c r="E4" s="61">
        <v>2027</v>
      </c>
      <c r="F4" s="61">
        <v>2028</v>
      </c>
      <c r="H4" s="12" t="s">
        <v>119</v>
      </c>
      <c r="I4" s="13" t="s">
        <v>120</v>
      </c>
    </row>
    <row r="5" spans="1:11" x14ac:dyDescent="0.3">
      <c r="A5" s="62" t="s">
        <v>22</v>
      </c>
      <c r="B5" s="63">
        <f>'Income Statement'!F4</f>
        <v>2352000</v>
      </c>
      <c r="C5" s="63">
        <f>'Income Statement'!G4</f>
        <v>2634240.0000000005</v>
      </c>
      <c r="D5" s="63">
        <f>'Income Statement'!H4</f>
        <v>2976691.2</v>
      </c>
      <c r="E5" s="63">
        <f>'Income Statement'!I4</f>
        <v>3393427.9680000008</v>
      </c>
      <c r="F5" s="63">
        <f>'Income Statement'!J4</f>
        <v>3902442.1632000008</v>
      </c>
      <c r="H5" s="14" t="s">
        <v>123</v>
      </c>
      <c r="I5" s="15" t="str">
        <f>IF(SUMPRODUCT(ABS('Balance Sheet'!F36:J36))&lt;0.01,"OK","NOT TIED")</f>
        <v>OK</v>
      </c>
    </row>
    <row r="6" spans="1:11" x14ac:dyDescent="0.3">
      <c r="A6" s="62" t="s">
        <v>23</v>
      </c>
      <c r="B6" s="63">
        <f>'Income Statement'!F7</f>
        <v>940800</v>
      </c>
      <c r="C6" s="63">
        <f>'Income Statement'!G7</f>
        <v>1053696.0000000002</v>
      </c>
      <c r="D6" s="63">
        <f>'Income Statement'!H7</f>
        <v>1190676.4800000002</v>
      </c>
      <c r="E6" s="63">
        <f>'Income Statement'!I7</f>
        <v>1357371.1872000005</v>
      </c>
      <c r="F6" s="63">
        <f>'Income Statement'!J7</f>
        <v>1560976.8652800005</v>
      </c>
      <c r="H6" s="14" t="s">
        <v>124</v>
      </c>
      <c r="I6" s="15" t="str">
        <f>IF(SUMPRODUCT(ABS('Balance Sheet'!F8:J8-'Cash Flow'!F24:J24))&lt;0.01,"OK","CHECK CASH LINK")</f>
        <v>OK</v>
      </c>
    </row>
    <row r="7" spans="1:11" x14ac:dyDescent="0.3">
      <c r="A7" s="62" t="s">
        <v>104</v>
      </c>
      <c r="B7" s="63">
        <f>'Income Statement'!F35</f>
        <v>125210.39999999992</v>
      </c>
      <c r="C7" s="63">
        <f>'Income Statement'!G35</f>
        <v>176775.64800000002</v>
      </c>
      <c r="D7" s="63">
        <f>'Income Statement'!H35</f>
        <v>239341.48223999992</v>
      </c>
      <c r="E7" s="63">
        <f>'Income Statement'!I35</f>
        <v>315479.28975359997</v>
      </c>
      <c r="F7" s="63">
        <f>'Income Statement'!J35</f>
        <v>408476.18321663991</v>
      </c>
      <c r="G7" s="3"/>
      <c r="H7" s="14" t="s">
        <v>125</v>
      </c>
      <c r="I7" s="16" t="str">
        <f>IF(AND(
ABS('Cash Flow'!G22-'Cash Flow'!F24)&lt;0.01,
ABS('Cash Flow'!H22-'Cash Flow'!G24)&lt;0.01,
ABS('Cash Flow'!I22-'Cash Flow'!H24)&lt;0.01,
ABS('Cash Flow'!J22-'Cash Flow'!I24)&lt;0.01
),"OK","CHECK CASH ROLL")</f>
        <v>OK</v>
      </c>
      <c r="J7" s="3"/>
      <c r="K7" s="3"/>
    </row>
    <row r="8" spans="1:11" x14ac:dyDescent="0.3">
      <c r="A8" s="62" t="s">
        <v>105</v>
      </c>
      <c r="B8" s="64">
        <f>'Income Statement'!F10/'Income Statement'!F4</f>
        <v>0.6</v>
      </c>
      <c r="C8" s="64">
        <f>'Income Statement'!G10/'Income Statement'!G4</f>
        <v>0.6</v>
      </c>
      <c r="D8" s="64">
        <f>'Income Statement'!H10/'Income Statement'!H4</f>
        <v>0.6</v>
      </c>
      <c r="E8" s="64">
        <f>'Income Statement'!I10/'Income Statement'!I4</f>
        <v>0.6</v>
      </c>
      <c r="F8" s="64">
        <f>'Income Statement'!J10/'Income Statement'!J4</f>
        <v>0.6</v>
      </c>
      <c r="G8" s="2"/>
      <c r="H8" s="2"/>
      <c r="I8" s="2"/>
      <c r="J8" s="2"/>
      <c r="K8" s="2"/>
    </row>
    <row r="9" spans="1:11" x14ac:dyDescent="0.3">
      <c r="A9" s="62" t="s">
        <v>106</v>
      </c>
      <c r="B9" s="64">
        <f>'Income Statement'!F35/'Income Statement'!F4</f>
        <v>5.3235714285714254E-2</v>
      </c>
      <c r="C9" s="64">
        <f>'Income Statement'!G35/'Income Statement'!G4</f>
        <v>6.710688775510204E-2</v>
      </c>
      <c r="D9" s="64">
        <f>'Income Statement'!H35/'Income Statement'!H4</f>
        <v>8.0405210402745134E-2</v>
      </c>
      <c r="E9" s="64">
        <f>'Income Statement'!I35/'Income Statement'!I4</f>
        <v>9.2967728423460641E-2</v>
      </c>
      <c r="F9" s="64">
        <f>'Income Statement'!J35/'Income Statement'!J4</f>
        <v>0.10467193775953097</v>
      </c>
      <c r="G9" s="10"/>
      <c r="H9" s="10"/>
      <c r="I9" s="10"/>
      <c r="J9" s="10"/>
      <c r="K9" s="10"/>
    </row>
    <row r="10" spans="1:11" x14ac:dyDescent="0.3">
      <c r="A10" s="62" t="s">
        <v>114</v>
      </c>
      <c r="B10" s="64">
        <f>'Income Statement'!F13/'Income Statement'!F4</f>
        <v>0.14880952380952381</v>
      </c>
      <c r="C10" s="64">
        <f>'Income Statement'!G13/'Income Statement'!G4</f>
        <v>0.13286564625850339</v>
      </c>
      <c r="D10" s="64">
        <f>'Income Statement'!H13/'Income Statement'!H4</f>
        <v>0.11758021792787911</v>
      </c>
      <c r="E10" s="64">
        <f>'Income Statement'!I13/'Income Statement'!I4</f>
        <v>0.1031405420419992</v>
      </c>
      <c r="F10" s="64">
        <f>'Income Statement'!J13/'Income Statement'!J4</f>
        <v>8.9687427862607999E-2</v>
      </c>
      <c r="G10" s="10"/>
      <c r="H10" s="10"/>
      <c r="I10" s="10"/>
      <c r="J10" s="10"/>
      <c r="K10" s="10"/>
    </row>
    <row r="11" spans="1:11" x14ac:dyDescent="0.3">
      <c r="A11" s="62" t="s">
        <v>111</v>
      </c>
      <c r="B11" s="64">
        <f>'Income Statement'!F16/'Income Statement'!F4</f>
        <v>0.27800000000000002</v>
      </c>
      <c r="C11" s="64">
        <f>'Income Statement'!G16/'Income Statement'!G4</f>
        <v>0.27800000000000002</v>
      </c>
      <c r="D11" s="64">
        <f>'Income Statement'!H16/'Income Statement'!H4</f>
        <v>0.27800000000000002</v>
      </c>
      <c r="E11" s="64">
        <f>'Income Statement'!I16/'Income Statement'!I4</f>
        <v>0.27800000000000002</v>
      </c>
      <c r="F11" s="64">
        <f>'Income Statement'!J16/'Income Statement'!J4</f>
        <v>0.27800000000000002</v>
      </c>
      <c r="G11" s="10"/>
      <c r="H11" s="10"/>
      <c r="I11" s="10"/>
      <c r="J11" s="10"/>
      <c r="K11" s="10"/>
    </row>
    <row r="12" spans="1:11" x14ac:dyDescent="0.3">
      <c r="A12" s="62" t="s">
        <v>112</v>
      </c>
      <c r="B12" s="64">
        <f>'Income Statement'!F19/'Income Statement'!F4</f>
        <v>3.6139455782312924E-2</v>
      </c>
      <c r="C12" s="64">
        <f>'Income Statement'!G19/'Income Statement'!G4</f>
        <v>3.2267371234207962E-2</v>
      </c>
      <c r="D12" s="64">
        <f>'Income Statement'!H19/'Income Statement'!H4</f>
        <v>2.8555195782484926E-2</v>
      </c>
      <c r="E12" s="64">
        <f>'Income Statement'!I19/'Income Statement'!I4</f>
        <v>2.5048417353056948E-2</v>
      </c>
      <c r="F12" s="64">
        <f>'Income Statement'!J19/'Income Statement'!J4</f>
        <v>2.1781232480919087E-2</v>
      </c>
      <c r="G12" s="10"/>
      <c r="H12" s="10"/>
      <c r="I12" s="10"/>
      <c r="J12" s="10"/>
      <c r="K12" s="10"/>
    </row>
    <row r="13" spans="1:11" x14ac:dyDescent="0.3">
      <c r="A13" s="62" t="s">
        <v>113</v>
      </c>
      <c r="B13" s="64">
        <f>'Income Statement'!F22/'Income Statement'!F4</f>
        <v>6.0999999999999999E-2</v>
      </c>
      <c r="C13" s="64">
        <f>'Income Statement'!G22/'Income Statement'!G4</f>
        <v>6.0999999999999992E-2</v>
      </c>
      <c r="D13" s="64">
        <f>'Income Statement'!H22/'Income Statement'!H4</f>
        <v>6.0999999999999999E-2</v>
      </c>
      <c r="E13" s="64">
        <f>'Income Statement'!I22/'Income Statement'!I4</f>
        <v>6.0999999999999999E-2</v>
      </c>
      <c r="F13" s="64">
        <f>'Income Statement'!J22/'Income Statement'!J4</f>
        <v>6.0999999999999999E-2</v>
      </c>
      <c r="G13" s="10"/>
      <c r="H13" s="10"/>
      <c r="I13" s="10"/>
      <c r="J13" s="10"/>
      <c r="K13" s="10"/>
    </row>
    <row r="14" spans="1:11" x14ac:dyDescent="0.3">
      <c r="A14" s="62" t="s">
        <v>107</v>
      </c>
      <c r="B14" s="65">
        <f>'Balance Sheet'!F12/'Balance Sheet'!F24</f>
        <v>4.2943537461806596</v>
      </c>
      <c r="C14" s="65">
        <f>'Balance Sheet'!G12/'Balance Sheet'!G24</f>
        <v>5.3646423312223925</v>
      </c>
      <c r="D14" s="65">
        <f>'Balance Sheet'!H12/'Balance Sheet'!H24</f>
        <v>6.650970629828544</v>
      </c>
      <c r="E14" s="65">
        <f>'Balance Sheet'!I12/'Balance Sheet'!I24</f>
        <v>8.124408999572891</v>
      </c>
      <c r="F14" s="65">
        <f>'Balance Sheet'!J12/'Balance Sheet'!J24</f>
        <v>9.7466866431488928</v>
      </c>
      <c r="G14" s="11"/>
      <c r="H14" s="11"/>
      <c r="I14" s="11"/>
      <c r="J14" s="11"/>
      <c r="K14" s="11"/>
    </row>
    <row r="15" spans="1:11" x14ac:dyDescent="0.3">
      <c r="A15" s="62" t="s">
        <v>108</v>
      </c>
      <c r="B15" s="65">
        <f>('Balance Sheet'!F8+'Balance Sheet'!F10)/'Balance Sheet'!F24</f>
        <v>3.2053147136033044</v>
      </c>
      <c r="C15" s="65">
        <f>('Balance Sheet'!G8+'Balance Sheet'!G10)/'Balance Sheet'!G24</f>
        <v>4.3156147167879908</v>
      </c>
      <c r="D15" s="65">
        <f>('Balance Sheet'!H8+'Balance Sheet'!H10)/'Balance Sheet'!H24</f>
        <v>5.6437471598746729</v>
      </c>
      <c r="E15" s="65">
        <f>('Balance Sheet'!I8+'Balance Sheet'!I10)/'Balance Sheet'!I24</f>
        <v>7.1601988446547855</v>
      </c>
      <c r="F15" s="65">
        <f>('Balance Sheet'!J8+'Balance Sheet'!J10)/'Balance Sheet'!J24</f>
        <v>8.8260460171179584</v>
      </c>
    </row>
    <row r="16" spans="1:11" x14ac:dyDescent="0.3">
      <c r="A16" s="62" t="s">
        <v>118</v>
      </c>
      <c r="B16" s="37">
        <f>('Balance Sheet'!F10/'Income Statement'!F4)*365</f>
        <v>5</v>
      </c>
      <c r="C16" s="37">
        <f>('Balance Sheet'!G10/'Income Statement'!G4)*365</f>
        <v>5</v>
      </c>
      <c r="D16" s="37">
        <f>('Balance Sheet'!H10/'Income Statement'!H4)*365</f>
        <v>5</v>
      </c>
      <c r="E16" s="37">
        <f>('Balance Sheet'!I10/'Income Statement'!I4)*365</f>
        <v>5</v>
      </c>
      <c r="F16" s="37">
        <f>('Balance Sheet'!J10/'Income Statement'!J4)*365</f>
        <v>5</v>
      </c>
    </row>
    <row r="17" spans="1:6" x14ac:dyDescent="0.3">
      <c r="A17" s="62" t="s">
        <v>115</v>
      </c>
      <c r="B17" s="37">
        <f>('Balance Sheet'!F9/'Income Statement'!F7)*365</f>
        <v>15</v>
      </c>
      <c r="C17" s="37">
        <f>('Balance Sheet'!G9/'Income Statement'!G7)*365</f>
        <v>15</v>
      </c>
      <c r="D17" s="37">
        <f>('Balance Sheet'!H9/'Income Statement'!H7)*365</f>
        <v>15</v>
      </c>
      <c r="E17" s="37">
        <f>('Balance Sheet'!I9/'Income Statement'!I7)*365</f>
        <v>15</v>
      </c>
      <c r="F17" s="37">
        <f>('Balance Sheet'!J9/'Income Statement'!J7)*365</f>
        <v>15</v>
      </c>
    </row>
    <row r="18" spans="1:6" x14ac:dyDescent="0.3">
      <c r="A18" s="62" t="s">
        <v>116</v>
      </c>
      <c r="B18" s="37">
        <f>('Balance Sheet'!F22/'Income Statement'!F7)*365</f>
        <v>30</v>
      </c>
      <c r="C18" s="37">
        <f>('Balance Sheet'!G22/'Income Statement'!G7)*365</f>
        <v>30</v>
      </c>
      <c r="D18" s="37">
        <f>('Balance Sheet'!H22/'Income Statement'!H7)*365</f>
        <v>30</v>
      </c>
      <c r="E18" s="37">
        <f>('Balance Sheet'!I22/'Income Statement'!I7)*365</f>
        <v>30</v>
      </c>
      <c r="F18" s="37">
        <f>('Balance Sheet'!J22/'Income Statement'!J7)*365</f>
        <v>30</v>
      </c>
    </row>
    <row r="19" spans="1:6" x14ac:dyDescent="0.3">
      <c r="A19" s="62" t="s">
        <v>117</v>
      </c>
      <c r="B19" s="37">
        <f>B16+B17-B18</f>
        <v>-10</v>
      </c>
      <c r="C19" s="37">
        <f t="shared" ref="C19:F19" si="0">C16+C17-C18</f>
        <v>-10</v>
      </c>
      <c r="D19" s="37">
        <f t="shared" si="0"/>
        <v>-10</v>
      </c>
      <c r="E19" s="37">
        <f t="shared" si="0"/>
        <v>-10</v>
      </c>
      <c r="F19" s="37">
        <f t="shared" si="0"/>
        <v>-10</v>
      </c>
    </row>
    <row r="20" spans="1:6" x14ac:dyDescent="0.3">
      <c r="A20" s="62" t="s">
        <v>109</v>
      </c>
      <c r="B20" s="64">
        <f>'Income Statement'!F35/'Balance Sheet'!F17</f>
        <v>8.365300766431312E-2</v>
      </c>
      <c r="C20" s="64">
        <f>'Income Statement'!G35/'Balance Sheet'!G17</f>
        <v>0.10504616115012523</v>
      </c>
      <c r="D20" s="64">
        <f>'Income Statement'!H35/'Balance Sheet'!H17</f>
        <v>0.12379062137926197</v>
      </c>
      <c r="E20" s="64">
        <f>'Income Statement'!I35/'Balance Sheet'!I17</f>
        <v>0.13943107885485667</v>
      </c>
      <c r="F20" s="64">
        <f>'Income Statement'!J35/'Balance Sheet'!J17</f>
        <v>0.15197253102198199</v>
      </c>
    </row>
    <row r="21" spans="1:6" x14ac:dyDescent="0.3">
      <c r="A21" s="62" t="s">
        <v>110</v>
      </c>
      <c r="B21" s="64">
        <f>'Income Statement'!F35/'Balance Sheet'!F33</f>
        <v>0.33890387340484485</v>
      </c>
      <c r="C21" s="64">
        <f>'Income Statement'!G35/'Balance Sheet'!G33</f>
        <v>0.32362704175061474</v>
      </c>
      <c r="D21" s="64">
        <f>'Income Statement'!H35/'Balance Sheet'!H33</f>
        <v>0.30467078858529795</v>
      </c>
      <c r="E21" s="64">
        <f>'Income Statement'!I35/'Balance Sheet'!I33</f>
        <v>0.28652496880708389</v>
      </c>
      <c r="F21" s="64">
        <f>'Income Statement'!J35/'Balance Sheet'!J33</f>
        <v>0.27059833011571421</v>
      </c>
    </row>
  </sheetData>
  <sheetProtection algorithmName="SHA-512" hashValue="HCOjCmvuesVc/0q/+AdP6GZoMPHodao+Lb5Nj94yJEkVbhHFfQH8n4Qy4+MgogKzRh0v4wJRwZ/FfHgQnZ8e6w==" saltValue="8wdPvYM28h+yu2SNVT4AFw==" spinCount="100000" sheet="1" objects="1" scenarios="1"/>
  <conditionalFormatting sqref="I5">
    <cfRule type="containsText" dxfId="5" priority="5" operator="containsText" text="NOT">
      <formula>NOT(ISERROR(SEARCH("NOT",I5)))</formula>
    </cfRule>
    <cfRule type="containsText" dxfId="4" priority="6" operator="containsText" text="OK">
      <formula>NOT(ISERROR(SEARCH("OK",I5)))</formula>
    </cfRule>
  </conditionalFormatting>
  <conditionalFormatting sqref="I6">
    <cfRule type="containsText" dxfId="3" priority="3" operator="containsText" text="Not">
      <formula>NOT(ISERROR(SEARCH("Not",I6)))</formula>
    </cfRule>
    <cfRule type="containsText" dxfId="2" priority="4" operator="containsText" text="Ok">
      <formula>NOT(ISERROR(SEARCH("Ok",I6)))</formula>
    </cfRule>
  </conditionalFormatting>
  <conditionalFormatting sqref="I7">
    <cfRule type="containsText" dxfId="1" priority="1" operator="containsText" text="NOT">
      <formula>NOT(ISERROR(SEARCH("NOT",I7)))</formula>
    </cfRule>
    <cfRule type="containsText" dxfId="0" priority="2" operator="containsText" text="OK">
      <formula>NOT(ISERROR(SEARCH("OK",I7)))</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F284951-2009-4CAB-8A00-2E6345B021FD}">
          <x14:formula1>
            <xm:f>Scenario!$A$3:$A$5</xm:f>
          </x14:formula1>
          <xm:sqref>I4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D8C91-D2A3-44FF-8F95-626FC12BC49C}">
  <dimension ref="A1:H5"/>
  <sheetViews>
    <sheetView showGridLines="0" view="pageBreakPreview" zoomScale="85" zoomScaleNormal="85" zoomScaleSheetLayoutView="85" workbookViewId="0">
      <selection activeCell="G13" sqref="G13"/>
    </sheetView>
  </sheetViews>
  <sheetFormatPr defaultRowHeight="14.4" x14ac:dyDescent="0.3"/>
  <cols>
    <col min="1" max="1" width="15.5546875" customWidth="1"/>
  </cols>
  <sheetData>
    <row r="1" spans="1:8" x14ac:dyDescent="0.3">
      <c r="A1" s="81" t="s">
        <v>119</v>
      </c>
      <c r="B1" s="81"/>
      <c r="C1" s="81"/>
      <c r="D1" s="81"/>
      <c r="E1" s="81"/>
      <c r="F1" s="81"/>
      <c r="G1" s="81"/>
      <c r="H1" s="81"/>
    </row>
    <row r="2" spans="1:8" x14ac:dyDescent="0.3">
      <c r="A2" s="36" t="s">
        <v>119</v>
      </c>
      <c r="B2" s="36"/>
      <c r="C2" s="36"/>
      <c r="D2" s="36" t="s">
        <v>17</v>
      </c>
      <c r="E2" s="36" t="s">
        <v>18</v>
      </c>
      <c r="F2" s="36" t="s">
        <v>19</v>
      </c>
      <c r="G2" s="36" t="s">
        <v>20</v>
      </c>
      <c r="H2" s="36" t="s">
        <v>21</v>
      </c>
    </row>
    <row r="3" spans="1:8" x14ac:dyDescent="0.3">
      <c r="A3" s="37" t="s">
        <v>120</v>
      </c>
      <c r="B3" s="37"/>
      <c r="C3" s="37"/>
      <c r="D3" s="38">
        <v>0.12</v>
      </c>
      <c r="E3" s="38">
        <v>0.12</v>
      </c>
      <c r="F3" s="38">
        <v>0.13</v>
      </c>
      <c r="G3" s="38">
        <v>0.14000000000000001</v>
      </c>
      <c r="H3" s="38">
        <v>0.15</v>
      </c>
    </row>
    <row r="4" spans="1:8" x14ac:dyDescent="0.3">
      <c r="A4" s="37" t="s">
        <v>121</v>
      </c>
      <c r="B4" s="37"/>
      <c r="C4" s="37"/>
      <c r="D4" s="38">
        <v>0.14000000000000001</v>
      </c>
      <c r="E4" s="38">
        <v>0.14000000000000001</v>
      </c>
      <c r="F4" s="38">
        <v>0.15</v>
      </c>
      <c r="G4" s="38">
        <v>0.16</v>
      </c>
      <c r="H4" s="38">
        <v>0.16</v>
      </c>
    </row>
    <row r="5" spans="1:8" x14ac:dyDescent="0.3">
      <c r="A5" s="37" t="s">
        <v>122</v>
      </c>
      <c r="B5" s="37"/>
      <c r="C5" s="37"/>
      <c r="D5" s="38">
        <v>0.1</v>
      </c>
      <c r="E5" s="38">
        <v>0.1</v>
      </c>
      <c r="F5" s="38">
        <v>0.11</v>
      </c>
      <c r="G5" s="38">
        <v>0.12</v>
      </c>
      <c r="H5" s="38">
        <v>0.12</v>
      </c>
    </row>
  </sheetData>
  <sheetProtection algorithmName="SHA-512" hashValue="spHE3FTlCJWx2++NQwr/PKimZARHg93CEZIklWSowMiDoLo0Fx0wGasWgo0zCkLvQ4alDWjRi9nsoVkiRvpIxA==" saltValue="/jQPZ5Vr5AwPdMEmrvKJDQ==" spinCount="100000" sheet="1" objects="1" scenarios="1"/>
  <mergeCells count="1">
    <mergeCell ref="A1:H1"/>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9"/>
  <sheetViews>
    <sheetView showGridLines="0" view="pageBreakPreview" zoomScale="85" zoomScaleNormal="85" zoomScaleSheetLayoutView="85" workbookViewId="0">
      <selection activeCell="R29" sqref="R29"/>
    </sheetView>
  </sheetViews>
  <sheetFormatPr defaultRowHeight="14.4" x14ac:dyDescent="0.3"/>
  <cols>
    <col min="1" max="1" width="43.88671875" customWidth="1"/>
    <col min="2" max="2" width="8.88671875" customWidth="1"/>
    <col min="4" max="4" width="12.5546875" bestFit="1" customWidth="1"/>
    <col min="6" max="6" width="8.5546875" customWidth="1"/>
  </cols>
  <sheetData>
    <row r="1" spans="1:7" x14ac:dyDescent="0.3">
      <c r="A1" s="81" t="s">
        <v>0</v>
      </c>
      <c r="B1" s="82"/>
      <c r="C1" s="82"/>
      <c r="D1" s="82"/>
      <c r="E1" s="82"/>
      <c r="F1" s="82"/>
    </row>
    <row r="2" spans="1:7" x14ac:dyDescent="0.3">
      <c r="A2" s="81" t="s">
        <v>1</v>
      </c>
      <c r="B2" s="82"/>
      <c r="C2" s="82"/>
      <c r="D2" s="82"/>
      <c r="E2" s="82"/>
      <c r="F2" s="82"/>
    </row>
    <row r="3" spans="1:7" x14ac:dyDescent="0.3">
      <c r="A3" s="36" t="s">
        <v>2</v>
      </c>
      <c r="B3" s="36">
        <v>2024</v>
      </c>
      <c r="C3" s="36">
        <v>2025</v>
      </c>
      <c r="D3" s="36">
        <v>2026</v>
      </c>
      <c r="E3" s="36">
        <v>2027</v>
      </c>
      <c r="F3" s="36">
        <v>2028</v>
      </c>
    </row>
    <row r="4" spans="1:7" x14ac:dyDescent="0.3">
      <c r="A4" s="37" t="s">
        <v>3</v>
      </c>
      <c r="B4" s="55">
        <f>VLOOKUP(Dashboard!$I$4,Scenario!$A$3:$H$5,4,FALSE)</f>
        <v>0.12</v>
      </c>
      <c r="C4" s="55">
        <f>VLOOKUP(Dashboard!$I$4,Scenario!$A$3:$H$5,5,FALSE)</f>
        <v>0.12</v>
      </c>
      <c r="D4" s="55">
        <f>VLOOKUP(Dashboard!$I$4,Scenario!$A$3:$H$5,6,FALSE)</f>
        <v>0.13</v>
      </c>
      <c r="E4" s="55">
        <f>VLOOKUP(Dashboard!$I$4,Scenario!$A$3:$H$5,7,FALSE)</f>
        <v>0.14000000000000001</v>
      </c>
      <c r="F4" s="55">
        <f>VLOOKUP(Dashboard!$I$4,Scenario!$A$3:$H$5,8,FALSE)</f>
        <v>0.15</v>
      </c>
      <c r="G4" s="1"/>
    </row>
    <row r="5" spans="1:7" x14ac:dyDescent="0.3">
      <c r="A5" s="37" t="s">
        <v>4</v>
      </c>
      <c r="B5" s="38">
        <v>0.4</v>
      </c>
      <c r="C5" s="38">
        <v>0.4</v>
      </c>
      <c r="D5" s="56">
        <f>'Sensitivity Analysis'!$B$3</f>
        <v>0.4</v>
      </c>
      <c r="E5" s="38">
        <v>0.4</v>
      </c>
      <c r="F5" s="38">
        <v>0.4</v>
      </c>
      <c r="G5" s="31"/>
    </row>
    <row r="6" spans="1:7" x14ac:dyDescent="0.3">
      <c r="A6" s="37" t="s">
        <v>5</v>
      </c>
      <c r="B6" s="57">
        <v>4.2900000000000001E-2</v>
      </c>
      <c r="C6" s="57">
        <v>4.2900000000000001E-2</v>
      </c>
      <c r="D6" s="57">
        <v>4.2900000000000001E-2</v>
      </c>
      <c r="E6" s="57">
        <v>4.2900000000000001E-2</v>
      </c>
      <c r="F6" s="57">
        <v>4.2900000000000001E-2</v>
      </c>
    </row>
    <row r="7" spans="1:7" x14ac:dyDescent="0.3">
      <c r="A7" s="37" t="s">
        <v>6</v>
      </c>
      <c r="B7" s="57">
        <v>0.27800000000000002</v>
      </c>
      <c r="C7" s="57">
        <v>0.27800000000000002</v>
      </c>
      <c r="D7" s="58">
        <f>'Sensitivity Analysis'!$C$16</f>
        <v>0.27800000000000002</v>
      </c>
      <c r="E7" s="57">
        <v>0.27800000000000002</v>
      </c>
      <c r="F7" s="57">
        <v>0.27800000000000002</v>
      </c>
    </row>
    <row r="8" spans="1:7" x14ac:dyDescent="0.3">
      <c r="A8" s="37" t="s">
        <v>7</v>
      </c>
      <c r="B8" s="38">
        <v>0.03</v>
      </c>
      <c r="C8" s="38">
        <v>0.03</v>
      </c>
      <c r="D8" s="38">
        <v>0.03</v>
      </c>
      <c r="E8" s="38">
        <v>0.03</v>
      </c>
      <c r="F8" s="38">
        <v>0.03</v>
      </c>
    </row>
    <row r="9" spans="1:7" x14ac:dyDescent="0.3">
      <c r="A9" s="37" t="s">
        <v>8</v>
      </c>
      <c r="B9" s="57">
        <v>6.0999999999999999E-2</v>
      </c>
      <c r="C9" s="57">
        <v>6.0999999999999999E-2</v>
      </c>
      <c r="D9" s="57">
        <v>6.0999999999999999E-2</v>
      </c>
      <c r="E9" s="57">
        <v>6.0999999999999999E-2</v>
      </c>
      <c r="F9" s="57">
        <v>6.0999999999999999E-2</v>
      </c>
    </row>
    <row r="10" spans="1:7" x14ac:dyDescent="0.3">
      <c r="A10" s="37" t="s">
        <v>9</v>
      </c>
      <c r="B10" s="38">
        <v>0.3</v>
      </c>
      <c r="C10" s="38">
        <v>0.3</v>
      </c>
      <c r="D10" s="38">
        <v>0.3</v>
      </c>
      <c r="E10" s="38">
        <v>0.3</v>
      </c>
      <c r="F10" s="38">
        <v>0.3</v>
      </c>
    </row>
    <row r="11" spans="1:7" x14ac:dyDescent="0.3">
      <c r="A11" s="37"/>
      <c r="B11" s="53"/>
      <c r="C11" s="53"/>
      <c r="D11" s="59"/>
      <c r="E11" s="59"/>
      <c r="F11" s="59"/>
    </row>
    <row r="12" spans="1:7" x14ac:dyDescent="0.3">
      <c r="A12" s="37"/>
      <c r="B12" s="53"/>
      <c r="C12" s="53"/>
      <c r="D12" s="59"/>
      <c r="E12" s="59"/>
      <c r="F12" s="59"/>
    </row>
    <row r="13" spans="1:7" x14ac:dyDescent="0.3">
      <c r="A13" s="81" t="s">
        <v>10</v>
      </c>
      <c r="B13" s="82"/>
      <c r="C13" s="82"/>
      <c r="D13" s="82"/>
      <c r="E13" s="82"/>
      <c r="F13" s="82"/>
    </row>
    <row r="14" spans="1:7" x14ac:dyDescent="0.3">
      <c r="A14" s="37"/>
      <c r="B14" s="53"/>
      <c r="C14" s="53"/>
      <c r="D14" s="59"/>
      <c r="E14" s="59"/>
      <c r="F14" s="59"/>
    </row>
    <row r="15" spans="1:7" x14ac:dyDescent="0.3">
      <c r="A15" s="37" t="s">
        <v>11</v>
      </c>
      <c r="B15" s="53">
        <v>5</v>
      </c>
      <c r="C15" s="53">
        <v>5</v>
      </c>
      <c r="D15" s="53">
        <v>5</v>
      </c>
      <c r="E15" s="53">
        <v>5</v>
      </c>
      <c r="F15" s="53">
        <v>5</v>
      </c>
    </row>
    <row r="16" spans="1:7" x14ac:dyDescent="0.3">
      <c r="A16" s="37" t="s">
        <v>12</v>
      </c>
      <c r="B16" s="53">
        <v>15</v>
      </c>
      <c r="C16" s="53">
        <v>15</v>
      </c>
      <c r="D16" s="53">
        <v>15</v>
      </c>
      <c r="E16" s="53">
        <v>15</v>
      </c>
      <c r="F16" s="53">
        <v>15</v>
      </c>
    </row>
    <row r="17" spans="1:6" x14ac:dyDescent="0.3">
      <c r="A17" s="37" t="s">
        <v>13</v>
      </c>
      <c r="B17" s="53">
        <v>30</v>
      </c>
      <c r="C17" s="53">
        <v>30</v>
      </c>
      <c r="D17" s="53">
        <v>30</v>
      </c>
      <c r="E17" s="53">
        <v>30</v>
      </c>
      <c r="F17" s="53">
        <v>30</v>
      </c>
    </row>
    <row r="18" spans="1:6" x14ac:dyDescent="0.3">
      <c r="A18" s="37" t="s">
        <v>14</v>
      </c>
      <c r="B18" s="53">
        <v>250000</v>
      </c>
      <c r="C18" s="53">
        <v>0</v>
      </c>
      <c r="D18" s="53">
        <v>0</v>
      </c>
      <c r="E18" s="53">
        <v>0</v>
      </c>
      <c r="F18" s="53">
        <v>0</v>
      </c>
    </row>
    <row r="19" spans="1:6" x14ac:dyDescent="0.3">
      <c r="B19" s="25"/>
      <c r="C19" s="25"/>
      <c r="D19" s="31"/>
      <c r="E19" s="31"/>
      <c r="F19" s="31"/>
    </row>
  </sheetData>
  <sheetProtection algorithmName="SHA-512" hashValue="9odjd8OSRsVa4TAL9AJH+K5Od7xzz1xUqpzXuh4OfzsaC6dzjcA0b5NrFuEzGYdWZsDrpb7p2nT9ojLFLk2GZg==" saltValue="k0hGrp7ul3dCUKrGuz/p0Q==" spinCount="100000" sheet="1" objects="1" scenarios="1"/>
  <mergeCells count="3">
    <mergeCell ref="A2:F2"/>
    <mergeCell ref="A1:F1"/>
    <mergeCell ref="A13:F1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24"/>
  <sheetViews>
    <sheetView showGridLines="0" view="pageBreakPreview" zoomScale="85" zoomScaleNormal="85" zoomScaleSheetLayoutView="85" workbookViewId="0">
      <selection activeCell="G31" sqref="G31"/>
    </sheetView>
  </sheetViews>
  <sheetFormatPr defaultRowHeight="14.4" x14ac:dyDescent="0.3"/>
  <cols>
    <col min="5" max="10" width="13.6640625" bestFit="1" customWidth="1"/>
  </cols>
  <sheetData>
    <row r="1" spans="1:10" x14ac:dyDescent="0.3">
      <c r="A1" s="81" t="s">
        <v>15</v>
      </c>
      <c r="B1" s="83"/>
      <c r="C1" s="83"/>
      <c r="D1" s="83"/>
      <c r="E1" s="83"/>
      <c r="F1" s="83"/>
      <c r="G1" s="83"/>
      <c r="H1" s="83"/>
      <c r="I1" s="83"/>
      <c r="J1" s="83"/>
    </row>
    <row r="2" spans="1:10" x14ac:dyDescent="0.3">
      <c r="A2" s="36" t="s">
        <v>2</v>
      </c>
      <c r="B2" s="36"/>
      <c r="C2" s="36"/>
      <c r="D2" s="36"/>
      <c r="E2" s="36" t="s">
        <v>16</v>
      </c>
      <c r="F2" s="36" t="s">
        <v>17</v>
      </c>
      <c r="G2" s="36" t="s">
        <v>18</v>
      </c>
      <c r="H2" s="36" t="s">
        <v>19</v>
      </c>
      <c r="I2" s="36" t="s">
        <v>20</v>
      </c>
      <c r="J2" s="36" t="s">
        <v>21</v>
      </c>
    </row>
    <row r="3" spans="1:10" x14ac:dyDescent="0.3">
      <c r="A3" s="37" t="s">
        <v>22</v>
      </c>
      <c r="B3" s="37"/>
      <c r="C3" s="37"/>
      <c r="D3" s="37"/>
      <c r="E3" s="52">
        <f>'Income Statement'!E4</f>
        <v>2100000</v>
      </c>
      <c r="F3" s="52">
        <f>'Income Statement'!F4</f>
        <v>2352000</v>
      </c>
      <c r="G3" s="52">
        <f>'Income Statement'!G4</f>
        <v>2634240.0000000005</v>
      </c>
      <c r="H3" s="52">
        <f>'Income Statement'!H4</f>
        <v>2976691.2</v>
      </c>
      <c r="I3" s="52">
        <f>'Income Statement'!I4</f>
        <v>3393427.9680000008</v>
      </c>
      <c r="J3" s="52">
        <f>'Income Statement'!J4</f>
        <v>3902442.1632000008</v>
      </c>
    </row>
    <row r="4" spans="1:10" x14ac:dyDescent="0.3">
      <c r="A4" s="37" t="s">
        <v>23</v>
      </c>
      <c r="B4" s="37"/>
      <c r="C4" s="37"/>
      <c r="D4" s="37"/>
      <c r="E4" s="52">
        <f>'Income Statement'!E7</f>
        <v>840000</v>
      </c>
      <c r="F4" s="52">
        <f>'Income Statement'!F7</f>
        <v>940800</v>
      </c>
      <c r="G4" s="52">
        <f>'Income Statement'!G7</f>
        <v>1053696.0000000002</v>
      </c>
      <c r="H4" s="52">
        <f>'Income Statement'!H7</f>
        <v>1190676.4800000002</v>
      </c>
      <c r="I4" s="52">
        <f>'Income Statement'!I7</f>
        <v>1357371.1872000005</v>
      </c>
      <c r="J4" s="52">
        <f>'Income Statement'!J7</f>
        <v>1560976.8652800005</v>
      </c>
    </row>
    <row r="5" spans="1:10" x14ac:dyDescent="0.3">
      <c r="A5" s="37" t="s">
        <v>11</v>
      </c>
      <c r="B5" s="37"/>
      <c r="C5" s="37"/>
      <c r="D5" s="37"/>
      <c r="E5" s="53">
        <v>5</v>
      </c>
      <c r="F5" s="53">
        <v>5</v>
      </c>
      <c r="G5" s="53">
        <v>5</v>
      </c>
      <c r="H5" s="53">
        <v>5</v>
      </c>
      <c r="I5" s="53">
        <v>5</v>
      </c>
      <c r="J5" s="53">
        <v>5</v>
      </c>
    </row>
    <row r="6" spans="1:10" x14ac:dyDescent="0.3">
      <c r="A6" s="37" t="s">
        <v>12</v>
      </c>
      <c r="B6" s="37"/>
      <c r="C6" s="37"/>
      <c r="D6" s="37"/>
      <c r="E6" s="53">
        <v>15</v>
      </c>
      <c r="F6" s="53">
        <v>15</v>
      </c>
      <c r="G6" s="53">
        <v>15</v>
      </c>
      <c r="H6" s="53">
        <v>15</v>
      </c>
      <c r="I6" s="53">
        <v>15</v>
      </c>
      <c r="J6" s="53">
        <v>15</v>
      </c>
    </row>
    <row r="7" spans="1:10" x14ac:dyDescent="0.3">
      <c r="A7" s="37" t="s">
        <v>13</v>
      </c>
      <c r="B7" s="37"/>
      <c r="C7" s="37"/>
      <c r="D7" s="37"/>
      <c r="E7" s="53">
        <v>30</v>
      </c>
      <c r="F7" s="53">
        <v>30</v>
      </c>
      <c r="G7" s="53">
        <v>30</v>
      </c>
      <c r="H7" s="53">
        <v>30</v>
      </c>
      <c r="I7" s="53">
        <v>30</v>
      </c>
      <c r="J7" s="53">
        <v>30</v>
      </c>
    </row>
    <row r="8" spans="1:10" x14ac:dyDescent="0.3">
      <c r="A8" s="37" t="s">
        <v>24</v>
      </c>
      <c r="B8" s="37"/>
      <c r="C8" s="37"/>
      <c r="D8" s="37"/>
      <c r="E8" s="43">
        <f t="shared" ref="E8:J9" si="0">E3*(E5/365)</f>
        <v>28767.123287671231</v>
      </c>
      <c r="F8" s="43">
        <f t="shared" si="0"/>
        <v>32219.178082191778</v>
      </c>
      <c r="G8" s="43">
        <f t="shared" si="0"/>
        <v>36085.479452054802</v>
      </c>
      <c r="H8" s="43">
        <f t="shared" si="0"/>
        <v>40776.591780821916</v>
      </c>
      <c r="I8" s="43">
        <f t="shared" si="0"/>
        <v>46485.314630136992</v>
      </c>
      <c r="J8" s="43">
        <f t="shared" si="0"/>
        <v>53458.111824657542</v>
      </c>
    </row>
    <row r="9" spans="1:10" x14ac:dyDescent="0.3">
      <c r="A9" s="37" t="s">
        <v>25</v>
      </c>
      <c r="B9" s="37"/>
      <c r="C9" s="37"/>
      <c r="D9" s="37"/>
      <c r="E9" s="43">
        <f t="shared" si="0"/>
        <v>34520.547945205479</v>
      </c>
      <c r="F9" s="43">
        <f t="shared" si="0"/>
        <v>38663.013698630137</v>
      </c>
      <c r="G9" s="43">
        <f t="shared" si="0"/>
        <v>43302.57534246576</v>
      </c>
      <c r="H9" s="43">
        <f t="shared" si="0"/>
        <v>48931.910136986306</v>
      </c>
      <c r="I9" s="43">
        <f t="shared" si="0"/>
        <v>55782.3775561644</v>
      </c>
      <c r="J9" s="43">
        <f t="shared" si="0"/>
        <v>64149.734189589057</v>
      </c>
    </row>
    <row r="10" spans="1:10" x14ac:dyDescent="0.3">
      <c r="A10" s="37" t="s">
        <v>26</v>
      </c>
      <c r="B10" s="37"/>
      <c r="C10" s="37"/>
      <c r="D10" s="37"/>
      <c r="E10" s="43">
        <f t="shared" ref="E10:J10" si="1">E4*(E7/365)</f>
        <v>69041.095890410958</v>
      </c>
      <c r="F10" s="43">
        <f t="shared" si="1"/>
        <v>77326.027397260274</v>
      </c>
      <c r="G10" s="43">
        <f t="shared" si="1"/>
        <v>86605.150684931519</v>
      </c>
      <c r="H10" s="43">
        <f t="shared" si="1"/>
        <v>97863.820273972611</v>
      </c>
      <c r="I10" s="43">
        <f t="shared" si="1"/>
        <v>111564.7551123288</v>
      </c>
      <c r="J10" s="43">
        <f t="shared" si="1"/>
        <v>128299.46837917811</v>
      </c>
    </row>
    <row r="11" spans="1:10" x14ac:dyDescent="0.3">
      <c r="A11" s="37" t="s">
        <v>27</v>
      </c>
      <c r="B11" s="37"/>
      <c r="C11" s="37"/>
      <c r="D11" s="37"/>
      <c r="E11" s="43">
        <v>0</v>
      </c>
      <c r="F11" s="43">
        <f t="shared" ref="F11:J13" si="2">F8-E8</f>
        <v>3452.0547945205471</v>
      </c>
      <c r="G11" s="43">
        <f t="shared" si="2"/>
        <v>3866.3013698630239</v>
      </c>
      <c r="H11" s="43">
        <f t="shared" si="2"/>
        <v>4691.1123287671144</v>
      </c>
      <c r="I11" s="43">
        <f t="shared" si="2"/>
        <v>5708.722849315076</v>
      </c>
      <c r="J11" s="43">
        <f t="shared" si="2"/>
        <v>6972.79719452055</v>
      </c>
    </row>
    <row r="12" spans="1:10" x14ac:dyDescent="0.3">
      <c r="A12" s="37" t="s">
        <v>28</v>
      </c>
      <c r="B12" s="37"/>
      <c r="C12" s="37"/>
      <c r="D12" s="37"/>
      <c r="E12" s="43">
        <v>0</v>
      </c>
      <c r="F12" s="43">
        <f t="shared" si="2"/>
        <v>4142.465753424658</v>
      </c>
      <c r="G12" s="43">
        <f t="shared" si="2"/>
        <v>4639.5616438356228</v>
      </c>
      <c r="H12" s="43">
        <f t="shared" si="2"/>
        <v>5629.334794520546</v>
      </c>
      <c r="I12" s="43">
        <f t="shared" si="2"/>
        <v>6850.4674191780941</v>
      </c>
      <c r="J12" s="43">
        <f t="shared" si="2"/>
        <v>8367.356633424657</v>
      </c>
    </row>
    <row r="13" spans="1:10" x14ac:dyDescent="0.3">
      <c r="A13" s="37" t="s">
        <v>29</v>
      </c>
      <c r="B13" s="37"/>
      <c r="C13" s="37"/>
      <c r="D13" s="37"/>
      <c r="E13" s="43">
        <v>0</v>
      </c>
      <c r="F13" s="43">
        <f t="shared" si="2"/>
        <v>8284.9315068493161</v>
      </c>
      <c r="G13" s="43">
        <f t="shared" si="2"/>
        <v>9279.1232876712456</v>
      </c>
      <c r="H13" s="43">
        <f t="shared" si="2"/>
        <v>11258.669589041092</v>
      </c>
      <c r="I13" s="43">
        <f t="shared" si="2"/>
        <v>13700.934838356188</v>
      </c>
      <c r="J13" s="43">
        <f t="shared" si="2"/>
        <v>16734.713266849314</v>
      </c>
    </row>
    <row r="14" spans="1:10" x14ac:dyDescent="0.3">
      <c r="A14" s="37"/>
      <c r="B14" s="37"/>
      <c r="C14" s="37"/>
      <c r="D14" s="37"/>
      <c r="E14" s="43"/>
      <c r="F14" s="43"/>
      <c r="G14" s="43"/>
      <c r="H14" s="43"/>
      <c r="I14" s="43"/>
      <c r="J14" s="43"/>
    </row>
    <row r="15" spans="1:10" x14ac:dyDescent="0.3">
      <c r="A15" s="37"/>
      <c r="B15" s="37"/>
      <c r="C15" s="37"/>
      <c r="D15" s="37"/>
      <c r="E15" s="43"/>
      <c r="F15" s="43"/>
      <c r="G15" s="43"/>
      <c r="H15" s="43"/>
      <c r="I15" s="43"/>
      <c r="J15" s="43"/>
    </row>
    <row r="16" spans="1:10" x14ac:dyDescent="0.3">
      <c r="A16" s="37"/>
      <c r="B16" s="37"/>
      <c r="C16" s="37"/>
      <c r="D16" s="37"/>
      <c r="E16" s="43"/>
      <c r="F16" s="43"/>
      <c r="G16" s="43"/>
      <c r="H16" s="43"/>
      <c r="I16" s="43"/>
      <c r="J16" s="43"/>
    </row>
    <row r="17" spans="1:10" x14ac:dyDescent="0.3">
      <c r="A17" s="37"/>
      <c r="B17" s="37"/>
      <c r="C17" s="37"/>
      <c r="D17" s="37"/>
      <c r="E17" s="43"/>
      <c r="F17" s="43"/>
      <c r="G17" s="43"/>
      <c r="H17" s="43"/>
      <c r="I17" s="43"/>
      <c r="J17" s="43"/>
    </row>
    <row r="18" spans="1:10" x14ac:dyDescent="0.3">
      <c r="A18" s="37" t="s">
        <v>30</v>
      </c>
      <c r="B18" s="37"/>
      <c r="C18" s="37"/>
      <c r="D18" s="37"/>
      <c r="E18" s="43"/>
      <c r="F18" s="43"/>
      <c r="G18" s="43"/>
      <c r="H18" s="43"/>
      <c r="I18" s="43"/>
      <c r="J18" s="43"/>
    </row>
    <row r="19" spans="1:10" x14ac:dyDescent="0.3">
      <c r="A19" s="37"/>
      <c r="B19" s="37"/>
      <c r="C19" s="37"/>
      <c r="D19" s="37"/>
      <c r="E19" s="43"/>
      <c r="F19" s="43"/>
      <c r="G19" s="43"/>
      <c r="H19" s="43"/>
      <c r="I19" s="43"/>
      <c r="J19" s="43"/>
    </row>
    <row r="20" spans="1:10" x14ac:dyDescent="0.3">
      <c r="A20" s="37" t="s">
        <v>31</v>
      </c>
      <c r="B20" s="37"/>
      <c r="C20" s="37"/>
      <c r="D20" s="37"/>
      <c r="E20" s="43"/>
      <c r="F20" s="42">
        <v>700000</v>
      </c>
      <c r="G20" s="42">
        <v>950000</v>
      </c>
      <c r="H20" s="42">
        <v>950000</v>
      </c>
      <c r="I20" s="42">
        <v>950000</v>
      </c>
      <c r="J20" s="42">
        <v>950000</v>
      </c>
    </row>
    <row r="21" spans="1:10" x14ac:dyDescent="0.3">
      <c r="A21" s="37" t="s">
        <v>32</v>
      </c>
      <c r="B21" s="37"/>
      <c r="C21" s="37"/>
      <c r="D21" s="37"/>
      <c r="E21" s="43"/>
      <c r="F21" s="42">
        <v>250000</v>
      </c>
      <c r="G21" s="54">
        <v>0</v>
      </c>
      <c r="H21" s="54">
        <v>0</v>
      </c>
      <c r="I21" s="54">
        <v>0</v>
      </c>
      <c r="J21" s="54">
        <v>0</v>
      </c>
    </row>
    <row r="22" spans="1:10" x14ac:dyDescent="0.3">
      <c r="A22" s="37" t="s">
        <v>33</v>
      </c>
      <c r="B22" s="37"/>
      <c r="C22" s="37"/>
      <c r="D22" s="37"/>
      <c r="E22" s="43"/>
      <c r="F22" s="43">
        <f>SUM(F20:F21)</f>
        <v>950000</v>
      </c>
      <c r="G22" s="43">
        <f>SUM(G20:G21)</f>
        <v>950000</v>
      </c>
      <c r="H22" s="43">
        <f>SUM(H20:H21)</f>
        <v>950000</v>
      </c>
      <c r="I22" s="43">
        <f>SUM(I20:I21)</f>
        <v>950000</v>
      </c>
      <c r="J22" s="43">
        <f>SUM(J20:J21)</f>
        <v>950000</v>
      </c>
    </row>
    <row r="23" spans="1:10" x14ac:dyDescent="0.3">
      <c r="A23" s="37" t="s">
        <v>34</v>
      </c>
      <c r="B23" s="37"/>
      <c r="C23" s="37"/>
      <c r="D23" s="37"/>
      <c r="E23" s="43"/>
      <c r="F23" s="43">
        <v>0</v>
      </c>
      <c r="G23" s="43">
        <v>0</v>
      </c>
      <c r="H23" s="43">
        <v>0</v>
      </c>
      <c r="I23" s="43">
        <v>0</v>
      </c>
      <c r="J23" s="43">
        <v>0</v>
      </c>
    </row>
    <row r="24" spans="1:10" x14ac:dyDescent="0.3">
      <c r="A24" s="37" t="s">
        <v>35</v>
      </c>
      <c r="B24" s="37"/>
      <c r="C24" s="37"/>
      <c r="D24" s="37"/>
      <c r="E24" s="43">
        <f t="shared" ref="E24:J24" si="3">E20+E21-E23</f>
        <v>0</v>
      </c>
      <c r="F24" s="43">
        <f t="shared" si="3"/>
        <v>950000</v>
      </c>
      <c r="G24" s="43">
        <f t="shared" si="3"/>
        <v>950000</v>
      </c>
      <c r="H24" s="43">
        <f t="shared" si="3"/>
        <v>950000</v>
      </c>
      <c r="I24" s="43">
        <f t="shared" si="3"/>
        <v>950000</v>
      </c>
      <c r="J24" s="43">
        <f t="shared" si="3"/>
        <v>950000</v>
      </c>
    </row>
  </sheetData>
  <sheetProtection algorithmName="SHA-512" hashValue="Lf3lIl4LQyu5w8UAP/nvcUki8mZVi6AUI3SNIXNcSg3Um+nvoMRvhD9EqfRIgDQaAjo2/HzumkNH/ntV7Ecf4g==" saltValue="5uu4K3M7wLYJyNDXrDGfug==" spinCount="100000" sheet="1" objects="1" scenarios="1"/>
  <mergeCells count="1">
    <mergeCell ref="A1:J1"/>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K35"/>
  <sheetViews>
    <sheetView showGridLines="0" view="pageBreakPreview" zoomScale="85" zoomScaleNormal="85" zoomScaleSheetLayoutView="85" workbookViewId="0">
      <selection activeCell="E21" sqref="E21"/>
    </sheetView>
  </sheetViews>
  <sheetFormatPr defaultRowHeight="14.4" x14ac:dyDescent="0.3"/>
  <cols>
    <col min="2" max="2" width="16.88671875" customWidth="1"/>
    <col min="3" max="10" width="14.88671875" bestFit="1" customWidth="1"/>
  </cols>
  <sheetData>
    <row r="1" spans="1:11" x14ac:dyDescent="0.3">
      <c r="A1" s="81" t="s">
        <v>36</v>
      </c>
      <c r="B1" s="81"/>
      <c r="C1" s="81"/>
      <c r="D1" s="81"/>
      <c r="E1" s="81"/>
      <c r="F1" s="81"/>
      <c r="G1" s="81"/>
      <c r="H1" s="81"/>
      <c r="I1" s="81"/>
      <c r="J1" s="81"/>
    </row>
    <row r="2" spans="1:11" x14ac:dyDescent="0.3">
      <c r="A2" s="36" t="s">
        <v>37</v>
      </c>
      <c r="B2" s="36"/>
      <c r="C2" s="36">
        <v>2021</v>
      </c>
      <c r="D2" s="36">
        <v>2022</v>
      </c>
      <c r="E2" s="36">
        <v>2023</v>
      </c>
      <c r="F2" s="36">
        <v>2024</v>
      </c>
      <c r="G2" s="36">
        <v>2025</v>
      </c>
      <c r="H2" s="36">
        <v>2026</v>
      </c>
      <c r="I2" s="36">
        <v>2027</v>
      </c>
      <c r="J2" s="36">
        <v>2028</v>
      </c>
    </row>
    <row r="3" spans="1:11" x14ac:dyDescent="0.3">
      <c r="A3" s="37"/>
      <c r="B3" s="37"/>
      <c r="C3" s="37"/>
      <c r="D3" s="37"/>
      <c r="E3" s="37"/>
      <c r="F3" s="37"/>
      <c r="G3" s="37"/>
      <c r="H3" s="37"/>
      <c r="I3" s="37"/>
      <c r="J3" s="37"/>
    </row>
    <row r="4" spans="1:11" x14ac:dyDescent="0.3">
      <c r="A4" s="37" t="s">
        <v>22</v>
      </c>
      <c r="B4" s="37"/>
      <c r="C4" s="42">
        <v>1500000</v>
      </c>
      <c r="D4" s="42">
        <v>1800000</v>
      </c>
      <c r="E4" s="42">
        <v>2100000</v>
      </c>
      <c r="F4" s="43">
        <f>E4*(1+Assumptions!B4)</f>
        <v>2352000</v>
      </c>
      <c r="G4" s="43">
        <f>F4*(1+Assumptions!C4)</f>
        <v>2634240.0000000005</v>
      </c>
      <c r="H4" s="43">
        <f>IF('Sensitivity Analysis'!$C$15=0, G4*(1+Assumptions!D4), 'Sensitivity Analysis'!$C$15)</f>
        <v>2976691.2</v>
      </c>
      <c r="I4" s="43">
        <f>H4*(1+Assumptions!E4)</f>
        <v>3393427.9680000008</v>
      </c>
      <c r="J4" s="43">
        <f>I4*(1+Assumptions!F4)</f>
        <v>3902442.1632000008</v>
      </c>
    </row>
    <row r="5" spans="1:11" x14ac:dyDescent="0.3">
      <c r="A5" s="44" t="s">
        <v>38</v>
      </c>
      <c r="B5" s="44"/>
      <c r="C5" s="44"/>
      <c r="D5" s="45">
        <f t="shared" ref="D5:J5" si="0">(D4/C4)-1</f>
        <v>0.19999999999999996</v>
      </c>
      <c r="E5" s="45">
        <f t="shared" si="0"/>
        <v>0.16666666666666674</v>
      </c>
      <c r="F5" s="45">
        <f t="shared" si="0"/>
        <v>0.12000000000000011</v>
      </c>
      <c r="G5" s="45">
        <f t="shared" si="0"/>
        <v>0.12000000000000011</v>
      </c>
      <c r="H5" s="45">
        <f t="shared" si="0"/>
        <v>0.12999999999999989</v>
      </c>
      <c r="I5" s="45">
        <f t="shared" si="0"/>
        <v>0.14000000000000012</v>
      </c>
      <c r="J5" s="45">
        <f t="shared" si="0"/>
        <v>0.14999999999999991</v>
      </c>
      <c r="K5" s="4"/>
    </row>
    <row r="6" spans="1:11" x14ac:dyDescent="0.3">
      <c r="A6" s="37"/>
      <c r="B6" s="37"/>
      <c r="C6" s="37"/>
      <c r="D6" s="37"/>
      <c r="E6" s="37"/>
      <c r="F6" s="37"/>
      <c r="G6" s="37"/>
      <c r="H6" s="37"/>
      <c r="I6" s="37"/>
      <c r="J6" s="37"/>
    </row>
    <row r="7" spans="1:11" x14ac:dyDescent="0.3">
      <c r="A7" s="37" t="s">
        <v>23</v>
      </c>
      <c r="B7" s="37"/>
      <c r="C7" s="42">
        <v>600000</v>
      </c>
      <c r="D7" s="42">
        <v>720000</v>
      </c>
      <c r="E7" s="42">
        <v>840000</v>
      </c>
      <c r="F7" s="43">
        <f>F4*Assumptions!B5</f>
        <v>940800</v>
      </c>
      <c r="G7" s="43">
        <f>G4*Assumptions!C5</f>
        <v>1053696.0000000002</v>
      </c>
      <c r="H7" s="43">
        <f>H4*Assumptions!D5</f>
        <v>1190676.4800000002</v>
      </c>
      <c r="I7" s="43">
        <f>I4*Assumptions!E5</f>
        <v>1357371.1872000005</v>
      </c>
      <c r="J7" s="43">
        <f>J4*Assumptions!F5</f>
        <v>1560976.8652800005</v>
      </c>
    </row>
    <row r="8" spans="1:11" x14ac:dyDescent="0.3">
      <c r="A8" s="44" t="s">
        <v>39</v>
      </c>
      <c r="B8" s="37"/>
      <c r="C8" s="46">
        <v>0.4</v>
      </c>
      <c r="D8" s="46">
        <v>0.4</v>
      </c>
      <c r="E8" s="46">
        <v>0.4</v>
      </c>
      <c r="F8" s="46">
        <v>0.4</v>
      </c>
      <c r="G8" s="46">
        <v>0.4</v>
      </c>
      <c r="H8" s="46">
        <v>0.4</v>
      </c>
      <c r="I8" s="46">
        <v>0.4</v>
      </c>
      <c r="J8" s="46">
        <v>0.4</v>
      </c>
    </row>
    <row r="9" spans="1:11" x14ac:dyDescent="0.3">
      <c r="A9" s="37"/>
      <c r="B9" s="37"/>
      <c r="C9" s="37"/>
      <c r="D9" s="37"/>
      <c r="E9" s="37"/>
      <c r="F9" s="37"/>
      <c r="G9" s="37"/>
      <c r="H9" s="37"/>
      <c r="I9" s="37"/>
      <c r="J9" s="37"/>
    </row>
    <row r="10" spans="1:11" x14ac:dyDescent="0.3">
      <c r="A10" s="47" t="s">
        <v>40</v>
      </c>
      <c r="B10" s="47"/>
      <c r="C10" s="48">
        <f t="shared" ref="C10:J10" si="1">C4-C7</f>
        <v>900000</v>
      </c>
      <c r="D10" s="48">
        <f t="shared" si="1"/>
        <v>1080000</v>
      </c>
      <c r="E10" s="48">
        <f t="shared" si="1"/>
        <v>1260000</v>
      </c>
      <c r="F10" s="48">
        <f t="shared" si="1"/>
        <v>1411200</v>
      </c>
      <c r="G10" s="48">
        <f t="shared" si="1"/>
        <v>1580544.0000000002</v>
      </c>
      <c r="H10" s="48">
        <f t="shared" si="1"/>
        <v>1786014.72</v>
      </c>
      <c r="I10" s="48">
        <f t="shared" si="1"/>
        <v>2036056.7808000003</v>
      </c>
      <c r="J10" s="48">
        <f t="shared" si="1"/>
        <v>2341465.2979200003</v>
      </c>
    </row>
    <row r="11" spans="1:11" x14ac:dyDescent="0.3">
      <c r="A11" s="49" t="s">
        <v>41</v>
      </c>
      <c r="B11" s="37"/>
      <c r="C11" s="50">
        <f t="shared" ref="C11:J11" si="2">C10/C4</f>
        <v>0.6</v>
      </c>
      <c r="D11" s="50">
        <f t="shared" si="2"/>
        <v>0.6</v>
      </c>
      <c r="E11" s="50">
        <f t="shared" si="2"/>
        <v>0.6</v>
      </c>
      <c r="F11" s="50">
        <f t="shared" si="2"/>
        <v>0.6</v>
      </c>
      <c r="G11" s="50">
        <f t="shared" si="2"/>
        <v>0.6</v>
      </c>
      <c r="H11" s="50">
        <f t="shared" si="2"/>
        <v>0.6</v>
      </c>
      <c r="I11" s="50">
        <f t="shared" si="2"/>
        <v>0.6</v>
      </c>
      <c r="J11" s="50">
        <f t="shared" si="2"/>
        <v>0.6</v>
      </c>
    </row>
    <row r="12" spans="1:11" x14ac:dyDescent="0.3">
      <c r="A12" s="37"/>
      <c r="B12" s="37"/>
      <c r="C12" s="37"/>
      <c r="D12" s="37"/>
      <c r="E12" s="37"/>
      <c r="F12" s="37"/>
      <c r="G12" s="37"/>
      <c r="H12" s="37"/>
      <c r="I12" s="37"/>
      <c r="J12" s="37"/>
    </row>
    <row r="13" spans="1:11" x14ac:dyDescent="0.3">
      <c r="A13" s="37" t="s">
        <v>42</v>
      </c>
      <c r="B13" s="37"/>
      <c r="C13" s="42">
        <v>250000</v>
      </c>
      <c r="D13" s="42">
        <v>270000</v>
      </c>
      <c r="E13" s="42">
        <v>290000</v>
      </c>
      <c r="F13" s="42">
        <v>350000</v>
      </c>
      <c r="G13" s="42">
        <v>350000</v>
      </c>
      <c r="H13" s="42">
        <v>350000</v>
      </c>
      <c r="I13" s="42">
        <v>350000</v>
      </c>
      <c r="J13" s="42">
        <v>350000</v>
      </c>
    </row>
    <row r="14" spans="1:11" x14ac:dyDescent="0.3">
      <c r="A14" s="49" t="s">
        <v>39</v>
      </c>
      <c r="B14" s="37"/>
      <c r="C14" s="50">
        <f t="shared" ref="C14:J14" si="3">C13/C4</f>
        <v>0.16666666666666666</v>
      </c>
      <c r="D14" s="50">
        <f t="shared" si="3"/>
        <v>0.15</v>
      </c>
      <c r="E14" s="50">
        <f t="shared" si="3"/>
        <v>0.1380952380952381</v>
      </c>
      <c r="F14" s="50">
        <f t="shared" si="3"/>
        <v>0.14880952380952381</v>
      </c>
      <c r="G14" s="50">
        <f t="shared" si="3"/>
        <v>0.13286564625850339</v>
      </c>
      <c r="H14" s="50">
        <f t="shared" si="3"/>
        <v>0.11758021792787911</v>
      </c>
      <c r="I14" s="50">
        <f t="shared" si="3"/>
        <v>0.1031405420419992</v>
      </c>
      <c r="J14" s="50">
        <f t="shared" si="3"/>
        <v>8.9687427862607999E-2</v>
      </c>
    </row>
    <row r="15" spans="1:11" x14ac:dyDescent="0.3">
      <c r="A15" s="37"/>
      <c r="B15" s="37"/>
      <c r="C15" s="37"/>
      <c r="D15" s="37"/>
      <c r="E15" s="37"/>
      <c r="F15" s="37"/>
      <c r="G15" s="37"/>
      <c r="H15" s="37"/>
      <c r="I15" s="37"/>
      <c r="J15" s="37"/>
    </row>
    <row r="16" spans="1:11" x14ac:dyDescent="0.3">
      <c r="A16" s="37" t="s">
        <v>6</v>
      </c>
      <c r="B16" s="37"/>
      <c r="C16" s="42">
        <v>450000</v>
      </c>
      <c r="D16" s="42">
        <v>500000</v>
      </c>
      <c r="E16" s="42">
        <v>550000</v>
      </c>
      <c r="F16" s="43">
        <f>F4*Assumptions!B7</f>
        <v>653856.00000000012</v>
      </c>
      <c r="G16" s="43">
        <f>G4*Assumptions!C7</f>
        <v>732318.7200000002</v>
      </c>
      <c r="H16" s="43">
        <f>H4*Assumptions!D7</f>
        <v>827520.15360000008</v>
      </c>
      <c r="I16" s="43">
        <f>I4*Assumptions!E7</f>
        <v>943372.9751040003</v>
      </c>
      <c r="J16" s="43">
        <f>J4*Assumptions!F7</f>
        <v>1084878.9213696003</v>
      </c>
    </row>
    <row r="17" spans="1:10" x14ac:dyDescent="0.3">
      <c r="A17" s="49" t="s">
        <v>39</v>
      </c>
      <c r="B17" s="37"/>
      <c r="C17" s="51">
        <f t="shared" ref="C17:J17" si="4">C16/C$4</f>
        <v>0.3</v>
      </c>
      <c r="D17" s="51">
        <f t="shared" si="4"/>
        <v>0.27777777777777779</v>
      </c>
      <c r="E17" s="51">
        <f t="shared" si="4"/>
        <v>0.26190476190476192</v>
      </c>
      <c r="F17" s="51">
        <f t="shared" si="4"/>
        <v>0.27800000000000002</v>
      </c>
      <c r="G17" s="51">
        <f t="shared" si="4"/>
        <v>0.27800000000000002</v>
      </c>
      <c r="H17" s="51">
        <f t="shared" si="4"/>
        <v>0.27800000000000002</v>
      </c>
      <c r="I17" s="51">
        <f t="shared" si="4"/>
        <v>0.27800000000000002</v>
      </c>
      <c r="J17" s="51">
        <f t="shared" si="4"/>
        <v>0.27800000000000002</v>
      </c>
    </row>
    <row r="18" spans="1:10" x14ac:dyDescent="0.3">
      <c r="A18" s="37"/>
      <c r="B18" s="37"/>
      <c r="C18" s="37"/>
      <c r="D18" s="37"/>
      <c r="E18" s="37"/>
      <c r="F18" s="37"/>
      <c r="G18" s="37"/>
      <c r="H18" s="37"/>
      <c r="I18" s="37"/>
      <c r="J18" s="37"/>
    </row>
    <row r="19" spans="1:10" x14ac:dyDescent="0.3">
      <c r="A19" s="37" t="s">
        <v>43</v>
      </c>
      <c r="B19" s="37"/>
      <c r="C19" s="42">
        <v>50000</v>
      </c>
      <c r="D19" s="42">
        <v>60000</v>
      </c>
      <c r="E19" s="42">
        <v>70000</v>
      </c>
      <c r="F19" s="42">
        <v>85000</v>
      </c>
      <c r="G19" s="42">
        <v>85000</v>
      </c>
      <c r="H19" s="42">
        <v>85000</v>
      </c>
      <c r="I19" s="42">
        <v>85000</v>
      </c>
      <c r="J19" s="42">
        <v>85000</v>
      </c>
    </row>
    <row r="20" spans="1:10" x14ac:dyDescent="0.3">
      <c r="A20" s="49" t="s">
        <v>39</v>
      </c>
      <c r="B20" s="37"/>
      <c r="C20" s="51">
        <f t="shared" ref="C20:J20" si="5">C19/C4</f>
        <v>3.3333333333333333E-2</v>
      </c>
      <c r="D20" s="51">
        <f t="shared" si="5"/>
        <v>3.3333333333333333E-2</v>
      </c>
      <c r="E20" s="51">
        <f t="shared" si="5"/>
        <v>3.3333333333333333E-2</v>
      </c>
      <c r="F20" s="51">
        <f t="shared" si="5"/>
        <v>3.6139455782312924E-2</v>
      </c>
      <c r="G20" s="51">
        <f t="shared" si="5"/>
        <v>3.2267371234207962E-2</v>
      </c>
      <c r="H20" s="51">
        <f t="shared" si="5"/>
        <v>2.8555195782484926E-2</v>
      </c>
      <c r="I20" s="51">
        <f t="shared" si="5"/>
        <v>2.5048417353056948E-2</v>
      </c>
      <c r="J20" s="51">
        <f t="shared" si="5"/>
        <v>2.1781232480919087E-2</v>
      </c>
    </row>
    <row r="21" spans="1:10" x14ac:dyDescent="0.3">
      <c r="A21" s="37"/>
      <c r="B21" s="37"/>
      <c r="C21" s="37"/>
      <c r="D21" s="37"/>
      <c r="E21" s="37"/>
      <c r="F21" s="37"/>
      <c r="G21" s="37"/>
      <c r="H21" s="37"/>
      <c r="I21" s="37"/>
      <c r="J21" s="37"/>
    </row>
    <row r="22" spans="1:10" x14ac:dyDescent="0.3">
      <c r="A22" s="37" t="s">
        <v>8</v>
      </c>
      <c r="B22" s="37"/>
      <c r="C22" s="42">
        <v>100000</v>
      </c>
      <c r="D22" s="42">
        <v>110000</v>
      </c>
      <c r="E22" s="42">
        <v>120000</v>
      </c>
      <c r="F22" s="43">
        <f>F4*Assumptions!B9</f>
        <v>143472</v>
      </c>
      <c r="G22" s="43">
        <f>G4*Assumptions!C9</f>
        <v>160688.64000000001</v>
      </c>
      <c r="H22" s="43">
        <f>H4*Assumptions!D9</f>
        <v>181578.16320000001</v>
      </c>
      <c r="I22" s="43">
        <f>I4*Assumptions!E9</f>
        <v>206999.10604800005</v>
      </c>
      <c r="J22" s="43">
        <f>J4*Assumptions!F9</f>
        <v>238048.97195520005</v>
      </c>
    </row>
    <row r="23" spans="1:10" x14ac:dyDescent="0.3">
      <c r="A23" s="49" t="s">
        <v>39</v>
      </c>
      <c r="B23" s="37"/>
      <c r="C23" s="51">
        <f t="shared" ref="C23:J23" si="6">C22/C$4</f>
        <v>6.6666666666666666E-2</v>
      </c>
      <c r="D23" s="51">
        <f t="shared" si="6"/>
        <v>6.1111111111111109E-2</v>
      </c>
      <c r="E23" s="51">
        <f t="shared" si="6"/>
        <v>5.7142857142857141E-2</v>
      </c>
      <c r="F23" s="51">
        <f t="shared" si="6"/>
        <v>6.0999999999999999E-2</v>
      </c>
      <c r="G23" s="51">
        <f t="shared" si="6"/>
        <v>6.0999999999999992E-2</v>
      </c>
      <c r="H23" s="51">
        <f t="shared" si="6"/>
        <v>6.0999999999999999E-2</v>
      </c>
      <c r="I23" s="51">
        <f t="shared" si="6"/>
        <v>6.0999999999999999E-2</v>
      </c>
      <c r="J23" s="51">
        <f t="shared" si="6"/>
        <v>6.0999999999999999E-2</v>
      </c>
    </row>
    <row r="24" spans="1:10" x14ac:dyDescent="0.3">
      <c r="A24" s="37"/>
      <c r="B24" s="37"/>
      <c r="C24" s="37"/>
      <c r="D24" s="37"/>
      <c r="E24" s="37"/>
      <c r="F24" s="37"/>
      <c r="G24" s="37"/>
      <c r="H24" s="37"/>
      <c r="I24" s="37"/>
      <c r="J24" s="37"/>
    </row>
    <row r="25" spans="1:10" x14ac:dyDescent="0.3">
      <c r="A25" s="47" t="s">
        <v>44</v>
      </c>
      <c r="B25" s="47"/>
      <c r="C25" s="48">
        <f t="shared" ref="C25:J25" si="7">C10-C13-C16-C19-C22</f>
        <v>50000</v>
      </c>
      <c r="D25" s="48">
        <f t="shared" si="7"/>
        <v>140000</v>
      </c>
      <c r="E25" s="48">
        <f t="shared" si="7"/>
        <v>230000</v>
      </c>
      <c r="F25" s="48">
        <f t="shared" si="7"/>
        <v>178871.99999999988</v>
      </c>
      <c r="G25" s="48">
        <f t="shared" si="7"/>
        <v>252536.64</v>
      </c>
      <c r="H25" s="48">
        <f t="shared" si="7"/>
        <v>341916.40319999988</v>
      </c>
      <c r="I25" s="48">
        <f t="shared" si="7"/>
        <v>450684.69964799995</v>
      </c>
      <c r="J25" s="48">
        <f t="shared" si="7"/>
        <v>583537.40459519986</v>
      </c>
    </row>
    <row r="26" spans="1:10" x14ac:dyDescent="0.3">
      <c r="A26" s="49" t="s">
        <v>45</v>
      </c>
      <c r="B26" s="49"/>
      <c r="C26" s="50">
        <f t="shared" ref="C26:J26" si="8">C25/C4</f>
        <v>3.3333333333333333E-2</v>
      </c>
      <c r="D26" s="50">
        <f t="shared" si="8"/>
        <v>7.7777777777777779E-2</v>
      </c>
      <c r="E26" s="50">
        <f t="shared" si="8"/>
        <v>0.10952380952380952</v>
      </c>
      <c r="F26" s="50">
        <f t="shared" si="8"/>
        <v>7.6051020408163222E-2</v>
      </c>
      <c r="G26" s="50">
        <f t="shared" si="8"/>
        <v>9.5866982507288617E-2</v>
      </c>
      <c r="H26" s="50">
        <f t="shared" si="8"/>
        <v>0.1148645862896359</v>
      </c>
      <c r="I26" s="50">
        <f t="shared" si="8"/>
        <v>0.13281104060494378</v>
      </c>
      <c r="J26" s="50">
        <f t="shared" si="8"/>
        <v>0.14953133965647283</v>
      </c>
    </row>
    <row r="27" spans="1:10" x14ac:dyDescent="0.3">
      <c r="A27" s="37"/>
      <c r="B27" s="37"/>
      <c r="C27" s="37"/>
      <c r="D27" s="37"/>
      <c r="E27" s="37"/>
      <c r="F27" s="37"/>
      <c r="G27" s="37"/>
      <c r="H27" s="37"/>
      <c r="I27" s="37"/>
      <c r="J27" s="37"/>
    </row>
    <row r="28" spans="1:10" x14ac:dyDescent="0.3">
      <c r="A28" s="37" t="s">
        <v>46</v>
      </c>
      <c r="B28" s="37"/>
      <c r="C28" s="37">
        <v>0</v>
      </c>
      <c r="D28" s="37">
        <v>0</v>
      </c>
      <c r="E28" s="37">
        <v>0</v>
      </c>
      <c r="F28" s="37">
        <v>0</v>
      </c>
      <c r="G28" s="37">
        <v>0</v>
      </c>
      <c r="H28" s="37">
        <v>0</v>
      </c>
      <c r="I28" s="37">
        <v>0</v>
      </c>
      <c r="J28" s="37">
        <v>0</v>
      </c>
    </row>
    <row r="29" spans="1:10" x14ac:dyDescent="0.3">
      <c r="A29" s="37"/>
      <c r="B29" s="37"/>
      <c r="C29" s="37"/>
      <c r="D29" s="37"/>
      <c r="E29" s="37"/>
      <c r="F29" s="37"/>
      <c r="G29" s="37"/>
      <c r="H29" s="37"/>
      <c r="I29" s="37"/>
      <c r="J29" s="37"/>
    </row>
    <row r="30" spans="1:10" x14ac:dyDescent="0.3">
      <c r="A30" s="37" t="s">
        <v>47</v>
      </c>
      <c r="B30" s="37"/>
      <c r="C30" s="43">
        <f>MAX(0,C32)*Assumptions!$B$10</f>
        <v>15000</v>
      </c>
      <c r="D30" s="43">
        <f>MAX(0,D32)*Assumptions!$B$10</f>
        <v>42000</v>
      </c>
      <c r="E30" s="43">
        <f>MAX(0,E32)*Assumptions!$B$10</f>
        <v>69000</v>
      </c>
      <c r="F30" s="43">
        <f>MAX(0,F32)*Assumptions!$B$10</f>
        <v>53661.599999999962</v>
      </c>
      <c r="G30" s="43">
        <f>MAX(0,G32)*Assumptions!$B$10</f>
        <v>75760.991999999998</v>
      </c>
      <c r="H30" s="43">
        <f>MAX(0,H32)*Assumptions!$B$10</f>
        <v>102574.92095999996</v>
      </c>
      <c r="I30" s="43">
        <f>MAX(0,I32)*Assumptions!$B$10</f>
        <v>135205.40989439999</v>
      </c>
      <c r="J30" s="43">
        <f>MAX(0,J32)*Assumptions!$B$10</f>
        <v>175061.22137855995</v>
      </c>
    </row>
    <row r="31" spans="1:10" x14ac:dyDescent="0.3">
      <c r="A31" s="37"/>
      <c r="B31" s="37"/>
      <c r="C31" s="37"/>
      <c r="D31" s="37"/>
      <c r="E31" s="37"/>
      <c r="F31" s="37"/>
      <c r="G31" s="37"/>
      <c r="H31" s="37"/>
      <c r="I31" s="37"/>
      <c r="J31" s="37"/>
    </row>
    <row r="32" spans="1:10" x14ac:dyDescent="0.3">
      <c r="A32" s="37" t="s">
        <v>48</v>
      </c>
      <c r="B32" s="37"/>
      <c r="C32" s="43">
        <f t="shared" ref="C32:J32" si="9">C25+C28</f>
        <v>50000</v>
      </c>
      <c r="D32" s="43">
        <f t="shared" si="9"/>
        <v>140000</v>
      </c>
      <c r="E32" s="43">
        <f t="shared" si="9"/>
        <v>230000</v>
      </c>
      <c r="F32" s="43">
        <f t="shared" si="9"/>
        <v>178871.99999999988</v>
      </c>
      <c r="G32" s="43">
        <f t="shared" si="9"/>
        <v>252536.64</v>
      </c>
      <c r="H32" s="43">
        <f t="shared" si="9"/>
        <v>341916.40319999988</v>
      </c>
      <c r="I32" s="43">
        <f t="shared" si="9"/>
        <v>450684.69964799995</v>
      </c>
      <c r="J32" s="43">
        <f t="shared" si="9"/>
        <v>583537.40459519986</v>
      </c>
    </row>
    <row r="33" spans="1:10" x14ac:dyDescent="0.3">
      <c r="A33" s="49" t="s">
        <v>49</v>
      </c>
      <c r="B33" s="37"/>
      <c r="C33" s="50">
        <f t="shared" ref="C33:J33" si="10">C30/C32</f>
        <v>0.3</v>
      </c>
      <c r="D33" s="50">
        <f t="shared" si="10"/>
        <v>0.3</v>
      </c>
      <c r="E33" s="50">
        <f t="shared" si="10"/>
        <v>0.3</v>
      </c>
      <c r="F33" s="50">
        <f t="shared" si="10"/>
        <v>0.3</v>
      </c>
      <c r="G33" s="50">
        <f t="shared" si="10"/>
        <v>0.3</v>
      </c>
      <c r="H33" s="50">
        <f t="shared" si="10"/>
        <v>0.3</v>
      </c>
      <c r="I33" s="50">
        <f t="shared" si="10"/>
        <v>0.3</v>
      </c>
      <c r="J33" s="50">
        <f t="shared" si="10"/>
        <v>0.3</v>
      </c>
    </row>
    <row r="34" spans="1:10" x14ac:dyDescent="0.3">
      <c r="A34" s="37"/>
      <c r="B34" s="37"/>
      <c r="C34" s="37"/>
      <c r="D34" s="37"/>
      <c r="E34" s="37"/>
      <c r="F34" s="37"/>
      <c r="G34" s="37"/>
      <c r="H34" s="37"/>
      <c r="I34" s="37"/>
      <c r="J34" s="37"/>
    </row>
    <row r="35" spans="1:10" x14ac:dyDescent="0.3">
      <c r="A35" s="47" t="s">
        <v>50</v>
      </c>
      <c r="B35" s="47"/>
      <c r="C35" s="48">
        <f t="shared" ref="C35:J35" si="11">C32-C30</f>
        <v>35000</v>
      </c>
      <c r="D35" s="48">
        <f t="shared" si="11"/>
        <v>98000</v>
      </c>
      <c r="E35" s="48">
        <f t="shared" si="11"/>
        <v>161000</v>
      </c>
      <c r="F35" s="48">
        <f t="shared" si="11"/>
        <v>125210.39999999992</v>
      </c>
      <c r="G35" s="48">
        <f t="shared" si="11"/>
        <v>176775.64800000002</v>
      </c>
      <c r="H35" s="48">
        <f t="shared" si="11"/>
        <v>239341.48223999992</v>
      </c>
      <c r="I35" s="48">
        <f t="shared" si="11"/>
        <v>315479.28975359997</v>
      </c>
      <c r="J35" s="48">
        <f t="shared" si="11"/>
        <v>408476.18321663991</v>
      </c>
    </row>
  </sheetData>
  <sheetProtection algorithmName="SHA-512" hashValue="tKe7wqGoUZxP+01mMw4MfjmvxB2ApU+CjIO9OsaLgVt9e2MlMAq3llstmdUiPf/yKZ1Y2kF4RAgSjrvIIqs4Ew==" saltValue="tEns7YVFDFEBcMC7OJL6sA==" spinCount="100000" sheet="1" objects="1" scenarios="1"/>
  <mergeCells count="1">
    <mergeCell ref="A1:J1"/>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38"/>
  <sheetViews>
    <sheetView showGridLines="0" view="pageBreakPreview" zoomScale="85" zoomScaleNormal="85" zoomScaleSheetLayoutView="85" workbookViewId="0">
      <selection activeCell="N18" sqref="N18"/>
    </sheetView>
  </sheetViews>
  <sheetFormatPr defaultRowHeight="14.4" x14ac:dyDescent="0.3"/>
  <cols>
    <col min="1" max="1" width="21.77734375" customWidth="1"/>
    <col min="2" max="2" width="16" customWidth="1"/>
    <col min="4" max="4" width="15.44140625" bestFit="1" customWidth="1"/>
    <col min="5" max="9" width="14.21875" bestFit="1" customWidth="1"/>
  </cols>
  <sheetData>
    <row r="1" spans="1:9" x14ac:dyDescent="0.3">
      <c r="A1" s="37"/>
      <c r="B1" s="37"/>
      <c r="C1" s="37"/>
    </row>
    <row r="2" spans="1:9" x14ac:dyDescent="0.3">
      <c r="A2" s="37" t="s">
        <v>51</v>
      </c>
      <c r="B2" s="66">
        <f>Assumptions!D4</f>
        <v>0.13</v>
      </c>
      <c r="C2" s="37"/>
    </row>
    <row r="3" spans="1:9" x14ac:dyDescent="0.3">
      <c r="A3" s="37" t="s">
        <v>52</v>
      </c>
      <c r="B3" s="67">
        <v>0.4</v>
      </c>
      <c r="C3" s="37"/>
    </row>
    <row r="5" spans="1:9" x14ac:dyDescent="0.3">
      <c r="C5" s="84" t="s">
        <v>23</v>
      </c>
      <c r="D5" s="83"/>
      <c r="E5" s="83"/>
      <c r="F5" s="83"/>
      <c r="G5" s="83"/>
      <c r="H5" s="83"/>
      <c r="I5" s="83"/>
    </row>
    <row r="6" spans="1:9" x14ac:dyDescent="0.3">
      <c r="C6" s="84" t="s">
        <v>22</v>
      </c>
      <c r="D6" s="26">
        <f>'Income Statement'!H35</f>
        <v>239341.48223999992</v>
      </c>
      <c r="E6" s="30">
        <v>0.35</v>
      </c>
      <c r="F6" s="29">
        <v>0.375</v>
      </c>
      <c r="G6" s="30">
        <v>0.4</v>
      </c>
      <c r="H6" s="29">
        <v>0.42499999999999999</v>
      </c>
      <c r="I6" s="30">
        <v>0.45</v>
      </c>
    </row>
    <row r="7" spans="1:9" x14ac:dyDescent="0.3">
      <c r="C7" s="83"/>
      <c r="D7" s="30">
        <v>0.08</v>
      </c>
      <c r="E7" s="7">
        <f t="dataTable" ref="E7:I12" dt2D="1" dtr="1" r1="B3" r2="B2" ca="1"/>
        <v>343525.67424000014</v>
      </c>
      <c r="F7" s="7">
        <v>291433.57823999994</v>
      </c>
      <c r="G7" s="7">
        <v>239341.48223999992</v>
      </c>
      <c r="H7" s="7">
        <v>187249.38624000008</v>
      </c>
      <c r="I7" s="7">
        <v>135157.29024000006</v>
      </c>
    </row>
    <row r="8" spans="1:9" x14ac:dyDescent="0.3">
      <c r="C8" s="83"/>
      <c r="D8" s="29">
        <v>0.105</v>
      </c>
      <c r="E8" s="7">
        <v>343525.67424000014</v>
      </c>
      <c r="F8" s="7">
        <v>291433.57823999994</v>
      </c>
      <c r="G8" s="7">
        <v>239341.48223999992</v>
      </c>
      <c r="H8" s="7">
        <v>187249.38624000008</v>
      </c>
      <c r="I8" s="7">
        <v>135157.29024000006</v>
      </c>
    </row>
    <row r="9" spans="1:9" x14ac:dyDescent="0.3">
      <c r="C9" s="83"/>
      <c r="D9" s="30">
        <v>0.13</v>
      </c>
      <c r="E9" s="7">
        <v>343525.67424000014</v>
      </c>
      <c r="F9" s="7">
        <v>291433.57823999994</v>
      </c>
      <c r="G9" s="7">
        <v>239341.48223999992</v>
      </c>
      <c r="H9" s="7">
        <v>187249.38624000008</v>
      </c>
      <c r="I9" s="7">
        <v>135157.29024000006</v>
      </c>
    </row>
    <row r="10" spans="1:9" x14ac:dyDescent="0.3">
      <c r="C10" s="83"/>
      <c r="D10" s="30">
        <v>0.14000000000000001</v>
      </c>
      <c r="E10" s="7">
        <v>343525.67424000014</v>
      </c>
      <c r="F10" s="7">
        <v>291433.57823999994</v>
      </c>
      <c r="G10" s="8">
        <v>239341.48223999992</v>
      </c>
      <c r="H10" s="7">
        <v>187249.38624000008</v>
      </c>
      <c r="I10" s="7">
        <v>135157.29024000006</v>
      </c>
    </row>
    <row r="11" spans="1:9" x14ac:dyDescent="0.3">
      <c r="C11" s="83"/>
      <c r="D11" s="29">
        <v>0.155</v>
      </c>
      <c r="E11" s="7">
        <v>343525.67424000014</v>
      </c>
      <c r="F11" s="7">
        <v>291433.57823999994</v>
      </c>
      <c r="G11" s="7">
        <v>239341.48223999992</v>
      </c>
      <c r="H11" s="7">
        <v>187249.38624000008</v>
      </c>
      <c r="I11" s="7">
        <v>135157.29024000006</v>
      </c>
    </row>
    <row r="12" spans="1:9" x14ac:dyDescent="0.3">
      <c r="C12" s="83"/>
      <c r="D12" s="30">
        <v>0.18</v>
      </c>
      <c r="E12" s="7">
        <v>343525.67424000014</v>
      </c>
      <c r="F12" s="7">
        <v>291433.57823999994</v>
      </c>
      <c r="G12" s="7">
        <v>239341.48223999992</v>
      </c>
      <c r="H12" s="7">
        <v>187249.38624000008</v>
      </c>
      <c r="I12" s="7">
        <v>135157.29024000006</v>
      </c>
    </row>
    <row r="14" spans="1:9" x14ac:dyDescent="0.3">
      <c r="A14" s="37"/>
      <c r="B14" s="37"/>
      <c r="C14" s="37"/>
    </row>
    <row r="15" spans="1:9" x14ac:dyDescent="0.3">
      <c r="A15" s="37" t="s">
        <v>51</v>
      </c>
      <c r="B15" s="68">
        <f>Assumptions!D4</f>
        <v>0.13</v>
      </c>
      <c r="C15" s="37"/>
    </row>
    <row r="16" spans="1:9" x14ac:dyDescent="0.3">
      <c r="A16" s="37" t="s">
        <v>53</v>
      </c>
      <c r="B16" s="37"/>
      <c r="C16" s="69">
        <v>0.27800000000000002</v>
      </c>
    </row>
    <row r="18" spans="1:9" x14ac:dyDescent="0.3">
      <c r="C18" s="84" t="s">
        <v>23</v>
      </c>
      <c r="D18" s="83"/>
      <c r="E18" s="83"/>
      <c r="F18" s="83"/>
      <c r="G18" s="83"/>
      <c r="H18" s="83"/>
      <c r="I18" s="83"/>
    </row>
    <row r="19" spans="1:9" x14ac:dyDescent="0.3">
      <c r="C19" s="84" t="s">
        <v>22</v>
      </c>
      <c r="D19" s="27">
        <f>'Income Statement'!H25</f>
        <v>341916.40319999988</v>
      </c>
      <c r="E19" s="34">
        <v>0.26</v>
      </c>
      <c r="F19" s="34">
        <v>0.27</v>
      </c>
      <c r="G19" s="34">
        <v>0.28000000000000003</v>
      </c>
      <c r="H19" s="34">
        <v>0.28999999999999998</v>
      </c>
      <c r="I19" s="34">
        <v>0.3</v>
      </c>
    </row>
    <row r="20" spans="1:9" x14ac:dyDescent="0.3">
      <c r="C20" s="83"/>
      <c r="D20" s="32">
        <v>2842350</v>
      </c>
      <c r="E20" s="7">
        <f t="dataTable" ref="E20:I24" dt2D="1" dtr="1" r1="C16" r2="C15"/>
        <v>358015.65</v>
      </c>
      <c r="F20" s="7">
        <v>329592.15000000002</v>
      </c>
      <c r="G20" s="7">
        <v>301168.64999999991</v>
      </c>
      <c r="H20" s="7">
        <v>272745.15000000002</v>
      </c>
      <c r="I20" s="7">
        <v>244321.65</v>
      </c>
    </row>
    <row r="21" spans="1:9" x14ac:dyDescent="0.3">
      <c r="C21" s="83"/>
      <c r="D21" s="32">
        <v>2915231</v>
      </c>
      <c r="E21" s="7">
        <v>378349.44899999979</v>
      </c>
      <c r="F21" s="7">
        <v>349197.13899999985</v>
      </c>
      <c r="G21" s="7">
        <v>320044.82899999979</v>
      </c>
      <c r="H21" s="7">
        <v>290892.51899999985</v>
      </c>
      <c r="I21" s="7">
        <v>261740.20899999994</v>
      </c>
    </row>
    <row r="22" spans="1:9" x14ac:dyDescent="0.3">
      <c r="C22" s="83"/>
      <c r="D22" s="32">
        <v>2989980</v>
      </c>
      <c r="E22" s="7">
        <v>399204.41999999993</v>
      </c>
      <c r="F22" s="7">
        <v>369304.61999999988</v>
      </c>
      <c r="G22" s="7">
        <v>339404.81999999995</v>
      </c>
      <c r="H22" s="7">
        <v>309505.02</v>
      </c>
      <c r="I22" s="7">
        <v>279605.21999999997</v>
      </c>
    </row>
    <row r="23" spans="1:9" x14ac:dyDescent="0.3">
      <c r="C23" s="83"/>
      <c r="D23" s="32">
        <v>3064730</v>
      </c>
      <c r="E23" s="7">
        <v>420059.66999999993</v>
      </c>
      <c r="F23" s="7">
        <v>389412.36999999988</v>
      </c>
      <c r="G23" s="7">
        <v>358765.06999999983</v>
      </c>
      <c r="H23" s="7">
        <v>328117.77</v>
      </c>
      <c r="I23" s="7">
        <v>297470.46999999997</v>
      </c>
    </row>
    <row r="24" spans="1:9" x14ac:dyDescent="0.3">
      <c r="C24" s="83"/>
      <c r="D24" s="32">
        <v>3141348</v>
      </c>
      <c r="E24" s="7">
        <v>441436.09200000006</v>
      </c>
      <c r="F24" s="7">
        <v>410022.61199999996</v>
      </c>
      <c r="G24" s="7">
        <v>378609.13199999998</v>
      </c>
      <c r="H24" s="7">
        <v>347195.65200000012</v>
      </c>
      <c r="I24" s="7">
        <v>315782.17200000002</v>
      </c>
    </row>
    <row r="25" spans="1:9" x14ac:dyDescent="0.3">
      <c r="C25" s="83"/>
      <c r="D25" s="33"/>
      <c r="E25" s="5"/>
      <c r="F25" s="5"/>
      <c r="G25" s="5"/>
      <c r="H25" s="5"/>
      <c r="I25" s="5"/>
    </row>
    <row r="28" spans="1:9" x14ac:dyDescent="0.3">
      <c r="A28" t="s">
        <v>54</v>
      </c>
    </row>
    <row r="29" spans="1:9" x14ac:dyDescent="0.3">
      <c r="A29" t="s">
        <v>51</v>
      </c>
      <c r="B29" s="24">
        <f>Assumptions!D4</f>
        <v>0.13</v>
      </c>
    </row>
    <row r="30" spans="1:9" x14ac:dyDescent="0.3">
      <c r="A30" t="s">
        <v>43</v>
      </c>
      <c r="C30" s="23">
        <f>Assumptions!D8</f>
        <v>0.03</v>
      </c>
    </row>
    <row r="31" spans="1:9" x14ac:dyDescent="0.3">
      <c r="C31" s="84" t="s">
        <v>23</v>
      </c>
      <c r="D31" s="83"/>
      <c r="E31" s="83"/>
      <c r="F31" s="83"/>
      <c r="G31" s="83"/>
      <c r="H31" s="83"/>
      <c r="I31" s="83"/>
    </row>
    <row r="32" spans="1:9" x14ac:dyDescent="0.3">
      <c r="C32" s="84" t="s">
        <v>22</v>
      </c>
      <c r="D32" s="27">
        <f>'Income Statement'!H35</f>
        <v>239341.48223999992</v>
      </c>
      <c r="E32" s="32">
        <v>85000</v>
      </c>
      <c r="F32" s="32">
        <v>87500</v>
      </c>
      <c r="G32" s="32">
        <v>90000</v>
      </c>
      <c r="H32" s="32">
        <v>92500</v>
      </c>
      <c r="I32" s="32">
        <v>95000</v>
      </c>
    </row>
    <row r="33" spans="3:9" x14ac:dyDescent="0.3">
      <c r="C33" s="83"/>
      <c r="D33" s="32">
        <v>2842350</v>
      </c>
      <c r="E33" s="7">
        <f t="dataTable" ref="E33:I37" dt2D="1" dtr="1" r1="C30" r2="C15" ca="1"/>
        <v>214797.34499999997</v>
      </c>
      <c r="F33" s="7">
        <v>214797.34499999997</v>
      </c>
      <c r="G33" s="7">
        <v>214797.34499999997</v>
      </c>
      <c r="H33" s="7">
        <v>214797.34499999997</v>
      </c>
      <c r="I33" s="7">
        <v>214797.34499999997</v>
      </c>
    </row>
    <row r="34" spans="3:9" x14ac:dyDescent="0.3">
      <c r="C34" s="83"/>
      <c r="D34" s="32">
        <v>2915231</v>
      </c>
      <c r="E34" s="7">
        <v>228112.70369999984</v>
      </c>
      <c r="F34" s="7">
        <v>228112.70369999984</v>
      </c>
      <c r="G34" s="7">
        <v>228112.70369999984</v>
      </c>
      <c r="H34" s="7">
        <v>228112.70369999984</v>
      </c>
      <c r="I34" s="7">
        <v>228112.70369999984</v>
      </c>
    </row>
    <row r="35" spans="3:9" x14ac:dyDescent="0.3">
      <c r="C35" s="83"/>
      <c r="D35" s="32">
        <v>2989980</v>
      </c>
      <c r="E35" s="7">
        <v>241769.34599999996</v>
      </c>
      <c r="F35" s="7">
        <v>241769.34599999996</v>
      </c>
      <c r="G35" s="7">
        <v>241769.34599999996</v>
      </c>
      <c r="H35" s="7">
        <v>241769.34599999996</v>
      </c>
      <c r="I35" s="7">
        <v>241769.34599999996</v>
      </c>
    </row>
    <row r="36" spans="3:9" x14ac:dyDescent="0.3">
      <c r="C36" s="83"/>
      <c r="D36" s="32">
        <v>3064730</v>
      </c>
      <c r="E36" s="7">
        <v>255426.17099999994</v>
      </c>
      <c r="F36" s="7">
        <v>255426.17099999994</v>
      </c>
      <c r="G36" s="7">
        <v>255426.17099999994</v>
      </c>
      <c r="H36" s="7">
        <v>255426.17099999994</v>
      </c>
      <c r="I36" s="7">
        <v>255426.17099999994</v>
      </c>
    </row>
    <row r="37" spans="3:9" x14ac:dyDescent="0.3">
      <c r="C37" s="83"/>
      <c r="D37" s="32">
        <v>3141348</v>
      </c>
      <c r="E37" s="7">
        <v>269424.27960000001</v>
      </c>
      <c r="F37" s="7">
        <v>269424.27960000001</v>
      </c>
      <c r="G37" s="7">
        <v>269424.27960000001</v>
      </c>
      <c r="H37" s="7">
        <v>269424.27960000001</v>
      </c>
      <c r="I37" s="7">
        <v>269424.27960000001</v>
      </c>
    </row>
    <row r="38" spans="3:9" x14ac:dyDescent="0.3">
      <c r="C38" s="83"/>
    </row>
  </sheetData>
  <sheetProtection algorithmName="SHA-512" hashValue="AnotrdYvxRR/MMqiGqNVstynWkGdoIaMCrJyyASxFLlC1dUoR/IuWPlWtvhzGjQgZ5M1wHlKrhTAleb95jqsuA==" saltValue="SKn8bL7QkHIDychJ+3MBNA==" spinCount="100000" sheet="1" objects="1" scenarios="1"/>
  <mergeCells count="6">
    <mergeCell ref="C5:I5"/>
    <mergeCell ref="C31:I31"/>
    <mergeCell ref="C18:I18"/>
    <mergeCell ref="C19:C25"/>
    <mergeCell ref="C32:C38"/>
    <mergeCell ref="C6:C12"/>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37"/>
  <sheetViews>
    <sheetView showGridLines="0" view="pageBreakPreview" zoomScale="85" zoomScaleNormal="85" zoomScaleSheetLayoutView="85" workbookViewId="0">
      <selection sqref="A1:J2"/>
    </sheetView>
  </sheetViews>
  <sheetFormatPr defaultRowHeight="14.4" x14ac:dyDescent="0.3"/>
  <cols>
    <col min="1" max="1" width="13.77734375" customWidth="1"/>
    <col min="5" max="10" width="13.6640625" bestFit="1" customWidth="1"/>
  </cols>
  <sheetData>
    <row r="1" spans="1:11" x14ac:dyDescent="0.3">
      <c r="A1" s="85" t="s">
        <v>55</v>
      </c>
      <c r="B1" s="83"/>
      <c r="C1" s="83"/>
      <c r="D1" s="83"/>
      <c r="E1" s="83"/>
      <c r="F1" s="83"/>
      <c r="G1" s="83"/>
      <c r="H1" s="83"/>
      <c r="I1" s="83"/>
      <c r="J1" s="83"/>
    </row>
    <row r="2" spans="1:11" x14ac:dyDescent="0.3">
      <c r="A2" s="83"/>
      <c r="B2" s="83"/>
      <c r="C2" s="83"/>
      <c r="D2" s="83"/>
      <c r="E2" s="83"/>
      <c r="F2" s="83"/>
      <c r="G2" s="83"/>
      <c r="H2" s="83"/>
      <c r="I2" s="83"/>
      <c r="J2" s="83"/>
    </row>
    <row r="3" spans="1:11" x14ac:dyDescent="0.3">
      <c r="A3" s="6"/>
      <c r="B3" s="6"/>
      <c r="C3" s="6"/>
      <c r="D3" s="6"/>
      <c r="E3" s="6"/>
      <c r="F3" s="6"/>
      <c r="G3" s="6"/>
      <c r="H3" s="6"/>
      <c r="I3" s="6"/>
      <c r="J3" s="6"/>
    </row>
    <row r="4" spans="1:11" x14ac:dyDescent="0.3">
      <c r="A4" s="36" t="s">
        <v>56</v>
      </c>
      <c r="B4" s="36"/>
      <c r="C4" s="36"/>
      <c r="D4" s="36"/>
      <c r="E4" s="36" t="s">
        <v>16</v>
      </c>
      <c r="F4" s="36" t="s">
        <v>17</v>
      </c>
      <c r="G4" s="36" t="s">
        <v>18</v>
      </c>
      <c r="H4" s="36" t="s">
        <v>19</v>
      </c>
      <c r="I4" s="36" t="s">
        <v>20</v>
      </c>
      <c r="J4" s="36" t="s">
        <v>21</v>
      </c>
    </row>
    <row r="5" spans="1:11" x14ac:dyDescent="0.3">
      <c r="A5" s="36"/>
      <c r="B5" s="36"/>
      <c r="C5" s="36"/>
      <c r="D5" s="70"/>
      <c r="E5" s="70"/>
      <c r="F5" s="70"/>
      <c r="G5" s="70"/>
      <c r="H5" s="70"/>
      <c r="I5" s="70"/>
      <c r="J5" s="70"/>
      <c r="K5" s="9"/>
    </row>
    <row r="6" spans="1:11" x14ac:dyDescent="0.3">
      <c r="A6" s="37" t="s">
        <v>57</v>
      </c>
      <c r="B6" s="37"/>
      <c r="C6" s="37"/>
      <c r="D6" s="43"/>
      <c r="E6" s="43"/>
      <c r="F6" s="43"/>
      <c r="G6" s="43"/>
      <c r="H6" s="43"/>
      <c r="I6" s="43"/>
      <c r="J6" s="43"/>
      <c r="K6" s="9"/>
    </row>
    <row r="7" spans="1:11" x14ac:dyDescent="0.3">
      <c r="A7" s="37" t="s">
        <v>58</v>
      </c>
      <c r="B7" s="37"/>
      <c r="C7" s="37"/>
      <c r="D7" s="43"/>
      <c r="E7" s="43"/>
      <c r="F7" s="43"/>
      <c r="G7" s="43"/>
      <c r="H7" s="43"/>
      <c r="I7" s="43"/>
      <c r="J7" s="43"/>
      <c r="K7" s="9"/>
    </row>
    <row r="8" spans="1:11" x14ac:dyDescent="0.3">
      <c r="A8" s="37" t="s">
        <v>59</v>
      </c>
      <c r="B8" s="37"/>
      <c r="C8" s="37"/>
      <c r="D8" s="43"/>
      <c r="E8" s="42">
        <v>500000</v>
      </c>
      <c r="F8" s="52">
        <f>'Cash Flow'!F24</f>
        <v>375900.81095890404</v>
      </c>
      <c r="G8" s="52">
        <f>'Cash Flow'!G24</f>
        <v>553449.71923287667</v>
      </c>
      <c r="H8" s="52">
        <f>'Cash Flow'!H24</f>
        <v>793729.42393863003</v>
      </c>
      <c r="I8" s="52">
        <f>'Cash Flow'!I24</f>
        <v>1110350.4582620929</v>
      </c>
      <c r="J8" s="52">
        <f>'Cash Flow'!J24</f>
        <v>1520221.200917637</v>
      </c>
      <c r="K8" s="9"/>
    </row>
    <row r="9" spans="1:11" x14ac:dyDescent="0.3">
      <c r="A9" s="37" t="s">
        <v>25</v>
      </c>
      <c r="B9" s="37"/>
      <c r="C9" s="37"/>
      <c r="D9" s="43"/>
      <c r="E9" s="52">
        <f>Schedules!E9</f>
        <v>34520.547945205479</v>
      </c>
      <c r="F9" s="52">
        <f>Schedules!F9</f>
        <v>38663.013698630137</v>
      </c>
      <c r="G9" s="52">
        <f>Schedules!G9</f>
        <v>43302.57534246576</v>
      </c>
      <c r="H9" s="52">
        <f>Schedules!H9</f>
        <v>48931.910136986306</v>
      </c>
      <c r="I9" s="52">
        <f>Schedules!I9</f>
        <v>55782.3775561644</v>
      </c>
      <c r="J9" s="52">
        <f>Schedules!J9</f>
        <v>64149.734189589057</v>
      </c>
      <c r="K9" s="9"/>
    </row>
    <row r="10" spans="1:11" x14ac:dyDescent="0.3">
      <c r="A10" s="37" t="s">
        <v>24</v>
      </c>
      <c r="B10" s="37"/>
      <c r="C10" s="37"/>
      <c r="D10" s="43"/>
      <c r="E10" s="52">
        <f>Schedules!E8</f>
        <v>28767.123287671231</v>
      </c>
      <c r="F10" s="52">
        <f>Schedules!F8</f>
        <v>32219.178082191778</v>
      </c>
      <c r="G10" s="52">
        <f>Schedules!G8</f>
        <v>36085.479452054802</v>
      </c>
      <c r="H10" s="52">
        <f>Schedules!H8</f>
        <v>40776.591780821916</v>
      </c>
      <c r="I10" s="52">
        <f>Schedules!I8</f>
        <v>46485.314630136992</v>
      </c>
      <c r="J10" s="52">
        <f>Schedules!J8</f>
        <v>53458.111824657542</v>
      </c>
      <c r="K10" s="9"/>
    </row>
    <row r="11" spans="1:11" x14ac:dyDescent="0.3">
      <c r="A11" s="37" t="s">
        <v>60</v>
      </c>
      <c r="B11" s="37"/>
      <c r="C11" s="37"/>
      <c r="D11" s="43"/>
      <c r="E11" s="42">
        <v>100000</v>
      </c>
      <c r="F11" s="42">
        <v>100000</v>
      </c>
      <c r="G11" s="42">
        <v>100000</v>
      </c>
      <c r="H11" s="42">
        <v>100000</v>
      </c>
      <c r="I11" s="42">
        <v>100000</v>
      </c>
      <c r="J11" s="42">
        <v>100000</v>
      </c>
      <c r="K11" s="9"/>
    </row>
    <row r="12" spans="1:11" x14ac:dyDescent="0.3">
      <c r="A12" s="37" t="s">
        <v>61</v>
      </c>
      <c r="B12" s="37"/>
      <c r="C12" s="37"/>
      <c r="D12" s="43"/>
      <c r="E12" s="43">
        <f t="shared" ref="E12:J12" si="0">SUM(E8:E11)</f>
        <v>663287.67123287672</v>
      </c>
      <c r="F12" s="43">
        <f t="shared" si="0"/>
        <v>546783.00273972598</v>
      </c>
      <c r="G12" s="43">
        <f t="shared" si="0"/>
        <v>732837.77402739727</v>
      </c>
      <c r="H12" s="43">
        <f t="shared" si="0"/>
        <v>983437.92585643823</v>
      </c>
      <c r="I12" s="43">
        <f t="shared" si="0"/>
        <v>1312618.1504483942</v>
      </c>
      <c r="J12" s="43">
        <f t="shared" si="0"/>
        <v>1737829.0469318836</v>
      </c>
      <c r="K12" s="9"/>
    </row>
    <row r="13" spans="1:11" x14ac:dyDescent="0.3">
      <c r="A13" s="37"/>
      <c r="B13" s="37"/>
      <c r="C13" s="37"/>
      <c r="D13" s="43"/>
      <c r="E13" s="43"/>
      <c r="F13" s="43"/>
      <c r="G13" s="43"/>
      <c r="H13" s="43"/>
      <c r="I13" s="43"/>
      <c r="J13" s="43"/>
      <c r="K13" s="9"/>
    </row>
    <row r="14" spans="1:11" x14ac:dyDescent="0.3">
      <c r="A14" s="37" t="s">
        <v>62</v>
      </c>
      <c r="B14" s="37"/>
      <c r="C14" s="37"/>
      <c r="D14" s="43"/>
      <c r="E14" s="43"/>
      <c r="F14" s="43"/>
      <c r="G14" s="43"/>
      <c r="H14" s="43"/>
      <c r="I14" s="43"/>
      <c r="J14" s="43"/>
      <c r="K14" s="9"/>
    </row>
    <row r="15" spans="1:11" x14ac:dyDescent="0.3">
      <c r="A15" s="37" t="s">
        <v>63</v>
      </c>
      <c r="B15" s="37"/>
      <c r="C15" s="37"/>
      <c r="D15" s="43"/>
      <c r="E15" s="42">
        <v>700000</v>
      </c>
      <c r="F15" s="52">
        <f>Schedules!F24</f>
        <v>950000</v>
      </c>
      <c r="G15" s="52">
        <f>Schedules!G24</f>
        <v>950000</v>
      </c>
      <c r="H15" s="52">
        <f>Schedules!H24</f>
        <v>950000</v>
      </c>
      <c r="I15" s="52">
        <f>Schedules!I24</f>
        <v>950000</v>
      </c>
      <c r="J15" s="52">
        <f>Schedules!J24</f>
        <v>950000</v>
      </c>
      <c r="K15" s="9"/>
    </row>
    <row r="16" spans="1:11" x14ac:dyDescent="0.3">
      <c r="A16" s="37" t="s">
        <v>64</v>
      </c>
      <c r="B16" s="37"/>
      <c r="C16" s="37"/>
      <c r="D16" s="43"/>
      <c r="E16" s="43">
        <f t="shared" ref="E16:J16" si="1">E15</f>
        <v>700000</v>
      </c>
      <c r="F16" s="43">
        <f t="shared" si="1"/>
        <v>950000</v>
      </c>
      <c r="G16" s="43">
        <f t="shared" si="1"/>
        <v>950000</v>
      </c>
      <c r="H16" s="43">
        <f t="shared" si="1"/>
        <v>950000</v>
      </c>
      <c r="I16" s="43">
        <f t="shared" si="1"/>
        <v>950000</v>
      </c>
      <c r="J16" s="43">
        <f t="shared" si="1"/>
        <v>950000</v>
      </c>
      <c r="K16" s="9"/>
    </row>
    <row r="17" spans="1:11" x14ac:dyDescent="0.3">
      <c r="A17" s="37" t="s">
        <v>65</v>
      </c>
      <c r="B17" s="37"/>
      <c r="C17" s="37"/>
      <c r="D17" s="43"/>
      <c r="E17" s="43">
        <f t="shared" ref="E17:J17" si="2">E12+E16</f>
        <v>1363287.6712328768</v>
      </c>
      <c r="F17" s="43">
        <f t="shared" si="2"/>
        <v>1496783.0027397261</v>
      </c>
      <c r="G17" s="43">
        <f t="shared" si="2"/>
        <v>1682837.7740273974</v>
      </c>
      <c r="H17" s="43">
        <f t="shared" si="2"/>
        <v>1933437.9258564382</v>
      </c>
      <c r="I17" s="43">
        <f t="shared" si="2"/>
        <v>2262618.150448394</v>
      </c>
      <c r="J17" s="43">
        <f t="shared" si="2"/>
        <v>2687829.0469318833</v>
      </c>
      <c r="K17" s="9"/>
    </row>
    <row r="18" spans="1:11" x14ac:dyDescent="0.3">
      <c r="A18" s="37"/>
      <c r="B18" s="37"/>
      <c r="C18" s="37"/>
      <c r="D18" s="43"/>
      <c r="E18" s="43"/>
      <c r="F18" s="43"/>
      <c r="G18" s="43"/>
      <c r="H18" s="43"/>
      <c r="I18" s="43"/>
      <c r="J18" s="43"/>
      <c r="K18" s="9"/>
    </row>
    <row r="19" spans="1:11" x14ac:dyDescent="0.3">
      <c r="A19" s="37" t="s">
        <v>66</v>
      </c>
      <c r="B19" s="37"/>
      <c r="C19" s="37"/>
      <c r="D19" s="43"/>
      <c r="E19" s="43"/>
      <c r="F19" s="43"/>
      <c r="G19" s="43"/>
      <c r="H19" s="43"/>
      <c r="I19" s="43"/>
      <c r="J19" s="43"/>
      <c r="K19" s="9"/>
    </row>
    <row r="20" spans="1:11" x14ac:dyDescent="0.3">
      <c r="A20" s="37" t="s">
        <v>67</v>
      </c>
      <c r="B20" s="37"/>
      <c r="C20" s="37"/>
      <c r="D20" s="43"/>
      <c r="E20" s="43"/>
      <c r="F20" s="43"/>
      <c r="G20" s="43"/>
      <c r="H20" s="43"/>
      <c r="I20" s="43"/>
      <c r="J20" s="43"/>
      <c r="K20" s="9"/>
    </row>
    <row r="21" spans="1:11" x14ac:dyDescent="0.3">
      <c r="A21" s="37" t="s">
        <v>68</v>
      </c>
      <c r="B21" s="37"/>
      <c r="C21" s="37"/>
      <c r="D21" s="43"/>
      <c r="E21" s="43"/>
      <c r="F21" s="43"/>
      <c r="G21" s="43"/>
      <c r="H21" s="43"/>
      <c r="I21" s="43"/>
      <c r="J21" s="43"/>
      <c r="K21" s="9"/>
    </row>
    <row r="22" spans="1:11" x14ac:dyDescent="0.3">
      <c r="A22" s="37" t="s">
        <v>69</v>
      </c>
      <c r="B22" s="37"/>
      <c r="C22" s="37"/>
      <c r="D22" s="43"/>
      <c r="E22" s="52">
        <f>Schedules!E10</f>
        <v>69041.095890410958</v>
      </c>
      <c r="F22" s="52">
        <f>Schedules!F10</f>
        <v>77326.027397260274</v>
      </c>
      <c r="G22" s="52">
        <f>Schedules!G10</f>
        <v>86605.150684931519</v>
      </c>
      <c r="H22" s="52">
        <f>Schedules!H10</f>
        <v>97863.820273972611</v>
      </c>
      <c r="I22" s="52">
        <f>Schedules!I10</f>
        <v>111564.7551123288</v>
      </c>
      <c r="J22" s="52">
        <f>Schedules!J10</f>
        <v>128299.46837917811</v>
      </c>
      <c r="K22" s="9"/>
    </row>
    <row r="23" spans="1:11" x14ac:dyDescent="0.3">
      <c r="A23" s="37" t="s">
        <v>70</v>
      </c>
      <c r="B23" s="37"/>
      <c r="C23" s="37"/>
      <c r="D23" s="43"/>
      <c r="E23" s="42">
        <v>50000</v>
      </c>
      <c r="F23" s="42">
        <v>50000</v>
      </c>
      <c r="G23" s="42">
        <v>50000</v>
      </c>
      <c r="H23" s="42">
        <v>50000</v>
      </c>
      <c r="I23" s="42">
        <v>50000</v>
      </c>
      <c r="J23" s="42">
        <v>50000</v>
      </c>
      <c r="K23" s="9"/>
    </row>
    <row r="24" spans="1:11" x14ac:dyDescent="0.3">
      <c r="A24" s="37" t="s">
        <v>71</v>
      </c>
      <c r="B24" s="37"/>
      <c r="C24" s="37"/>
      <c r="D24" s="43"/>
      <c r="E24" s="43">
        <f t="shared" ref="E24:J24" si="3">SUM(E22:E23)</f>
        <v>119041.09589041096</v>
      </c>
      <c r="F24" s="43">
        <f t="shared" si="3"/>
        <v>127326.02739726027</v>
      </c>
      <c r="G24" s="43">
        <f t="shared" si="3"/>
        <v>136605.15068493152</v>
      </c>
      <c r="H24" s="43">
        <f t="shared" si="3"/>
        <v>147863.82027397261</v>
      </c>
      <c r="I24" s="43">
        <f t="shared" si="3"/>
        <v>161564.7551123288</v>
      </c>
      <c r="J24" s="43">
        <f t="shared" si="3"/>
        <v>178299.46837917811</v>
      </c>
      <c r="K24" s="9"/>
    </row>
    <row r="25" spans="1:11" x14ac:dyDescent="0.3">
      <c r="A25" s="37"/>
      <c r="B25" s="37"/>
      <c r="C25" s="37"/>
      <c r="D25" s="43"/>
      <c r="E25" s="43"/>
      <c r="F25" s="43"/>
      <c r="G25" s="43"/>
      <c r="H25" s="43"/>
      <c r="I25" s="43"/>
      <c r="J25" s="43"/>
      <c r="K25" s="9"/>
    </row>
    <row r="26" spans="1:11" x14ac:dyDescent="0.3">
      <c r="A26" s="37" t="s">
        <v>72</v>
      </c>
      <c r="B26" s="37"/>
      <c r="C26" s="37"/>
      <c r="D26" s="43"/>
      <c r="E26" s="43"/>
      <c r="F26" s="43"/>
      <c r="G26" s="43"/>
      <c r="H26" s="43"/>
      <c r="I26" s="43"/>
      <c r="J26" s="43"/>
      <c r="K26" s="9"/>
    </row>
    <row r="27" spans="1:11" x14ac:dyDescent="0.3">
      <c r="A27" s="37" t="s">
        <v>73</v>
      </c>
      <c r="B27" s="37"/>
      <c r="C27" s="37"/>
      <c r="D27" s="43"/>
      <c r="E27" s="42">
        <v>1000000</v>
      </c>
      <c r="F27" s="42">
        <v>1000000</v>
      </c>
      <c r="G27" s="42">
        <v>1000000</v>
      </c>
      <c r="H27" s="42">
        <v>1000000</v>
      </c>
      <c r="I27" s="42">
        <v>1000000</v>
      </c>
      <c r="J27" s="42">
        <v>1000000</v>
      </c>
      <c r="K27" s="9"/>
    </row>
    <row r="28" spans="1:11" x14ac:dyDescent="0.3">
      <c r="A28" s="37" t="s">
        <v>74</v>
      </c>
      <c r="B28" s="37"/>
      <c r="C28" s="37"/>
      <c r="D28" s="43"/>
      <c r="E28" s="43">
        <f t="shared" ref="E28:J28" si="4">E27</f>
        <v>1000000</v>
      </c>
      <c r="F28" s="43">
        <f t="shared" si="4"/>
        <v>1000000</v>
      </c>
      <c r="G28" s="43">
        <f t="shared" si="4"/>
        <v>1000000</v>
      </c>
      <c r="H28" s="43">
        <f t="shared" si="4"/>
        <v>1000000</v>
      </c>
      <c r="I28" s="43">
        <f t="shared" si="4"/>
        <v>1000000</v>
      </c>
      <c r="J28" s="43">
        <f t="shared" si="4"/>
        <v>1000000</v>
      </c>
      <c r="K28" s="9"/>
    </row>
    <row r="29" spans="1:11" x14ac:dyDescent="0.3">
      <c r="A29" s="37"/>
      <c r="B29" s="37"/>
      <c r="C29" s="37"/>
      <c r="D29" s="43"/>
      <c r="E29" s="43"/>
      <c r="F29" s="43"/>
      <c r="G29" s="43"/>
      <c r="H29" s="43"/>
      <c r="I29" s="43"/>
      <c r="J29" s="43"/>
      <c r="K29" s="9"/>
    </row>
    <row r="30" spans="1:11" x14ac:dyDescent="0.3">
      <c r="A30" s="37" t="s">
        <v>75</v>
      </c>
      <c r="B30" s="37"/>
      <c r="C30" s="37"/>
      <c r="D30" s="43"/>
      <c r="E30" s="43"/>
      <c r="F30" s="43"/>
      <c r="G30" s="43"/>
      <c r="H30" s="43"/>
      <c r="I30" s="43"/>
      <c r="J30" s="43"/>
      <c r="K30" s="9"/>
    </row>
    <row r="31" spans="1:11" x14ac:dyDescent="0.3">
      <c r="A31" s="37" t="s">
        <v>76</v>
      </c>
      <c r="B31" s="37"/>
      <c r="C31" s="37"/>
      <c r="D31" s="43"/>
      <c r="E31" s="42">
        <v>300000</v>
      </c>
      <c r="F31" s="42">
        <v>300000</v>
      </c>
      <c r="G31" s="42">
        <v>300000</v>
      </c>
      <c r="H31" s="42">
        <v>300000</v>
      </c>
      <c r="I31" s="42">
        <v>300000</v>
      </c>
      <c r="J31" s="42">
        <v>300000</v>
      </c>
      <c r="K31" s="9"/>
    </row>
    <row r="32" spans="1:11" x14ac:dyDescent="0.3">
      <c r="A32" s="37" t="s">
        <v>77</v>
      </c>
      <c r="B32" s="37"/>
      <c r="C32" s="37"/>
      <c r="D32" s="43"/>
      <c r="E32" s="43">
        <f>E17 - E24 - E28 - E31</f>
        <v>-55753.424657534109</v>
      </c>
      <c r="F32" s="43">
        <f t="shared" ref="F32:J32" si="5">F17 - F24 - F28 - F31</f>
        <v>69456.975342465797</v>
      </c>
      <c r="G32" s="43">
        <f t="shared" si="5"/>
        <v>246232.62334246584</v>
      </c>
      <c r="H32" s="43">
        <f t="shared" si="5"/>
        <v>485574.10558246565</v>
      </c>
      <c r="I32" s="43">
        <f t="shared" si="5"/>
        <v>801053.39533606544</v>
      </c>
      <c r="J32" s="43">
        <f t="shared" si="5"/>
        <v>1209529.5785527052</v>
      </c>
      <c r="K32" s="9"/>
    </row>
    <row r="33" spans="1:11" x14ac:dyDescent="0.3">
      <c r="A33" s="37" t="s">
        <v>78</v>
      </c>
      <c r="B33" s="37"/>
      <c r="C33" s="37"/>
      <c r="D33" s="43"/>
      <c r="E33" s="43">
        <f t="shared" ref="E33:J33" si="6">E31+E32</f>
        <v>244246.57534246589</v>
      </c>
      <c r="F33" s="43">
        <f t="shared" si="6"/>
        <v>369456.9753424658</v>
      </c>
      <c r="G33" s="43">
        <f t="shared" si="6"/>
        <v>546232.62334246584</v>
      </c>
      <c r="H33" s="43">
        <f t="shared" si="6"/>
        <v>785574.10558246565</v>
      </c>
      <c r="I33" s="43">
        <f t="shared" si="6"/>
        <v>1101053.3953360654</v>
      </c>
      <c r="J33" s="43">
        <f t="shared" si="6"/>
        <v>1509529.5785527052</v>
      </c>
      <c r="K33" s="9"/>
    </row>
    <row r="34" spans="1:11" x14ac:dyDescent="0.3">
      <c r="A34" s="37" t="s">
        <v>79</v>
      </c>
      <c r="B34" s="37"/>
      <c r="C34" s="37"/>
      <c r="D34" s="43"/>
      <c r="E34" s="43">
        <f t="shared" ref="E34:J34" si="7">E24+E28+E33</f>
        <v>1363287.6712328768</v>
      </c>
      <c r="F34" s="43">
        <f t="shared" si="7"/>
        <v>1496783.0027397261</v>
      </c>
      <c r="G34" s="43">
        <f t="shared" si="7"/>
        <v>1682837.7740273974</v>
      </c>
      <c r="H34" s="43">
        <f t="shared" si="7"/>
        <v>1933437.9258564382</v>
      </c>
      <c r="I34" s="43">
        <f t="shared" si="7"/>
        <v>2262618.150448394</v>
      </c>
      <c r="J34" s="43">
        <f t="shared" si="7"/>
        <v>2687829.0469318833</v>
      </c>
      <c r="K34" s="9"/>
    </row>
    <row r="35" spans="1:11" x14ac:dyDescent="0.3">
      <c r="A35" s="37"/>
      <c r="B35" s="37"/>
      <c r="C35" s="37"/>
      <c r="D35" s="43"/>
      <c r="E35" s="43"/>
      <c r="F35" s="43"/>
      <c r="G35" s="43"/>
      <c r="H35" s="43"/>
      <c r="I35" s="43"/>
      <c r="J35" s="43"/>
      <c r="K35" s="9"/>
    </row>
    <row r="36" spans="1:11" x14ac:dyDescent="0.3">
      <c r="A36" s="37" t="s">
        <v>80</v>
      </c>
      <c r="B36" s="37"/>
      <c r="C36" s="37"/>
      <c r="D36" s="43"/>
      <c r="E36" s="43">
        <f t="shared" ref="E36:J36" si="8">E17-E34</f>
        <v>0</v>
      </c>
      <c r="F36" s="43">
        <f t="shared" si="8"/>
        <v>0</v>
      </c>
      <c r="G36" s="43">
        <f t="shared" si="8"/>
        <v>0</v>
      </c>
      <c r="H36" s="43">
        <f t="shared" si="8"/>
        <v>0</v>
      </c>
      <c r="I36" s="43">
        <f t="shared" si="8"/>
        <v>0</v>
      </c>
      <c r="J36" s="43">
        <f t="shared" si="8"/>
        <v>0</v>
      </c>
      <c r="K36" s="9"/>
    </row>
    <row r="37" spans="1:11" x14ac:dyDescent="0.3">
      <c r="A37" s="37"/>
      <c r="B37" s="37"/>
      <c r="C37" s="37"/>
      <c r="D37" s="37"/>
      <c r="E37" s="37"/>
      <c r="F37" s="37"/>
      <c r="G37" s="37"/>
      <c r="H37" s="37"/>
      <c r="I37" s="37"/>
      <c r="J37" s="37"/>
    </row>
  </sheetData>
  <sheetProtection algorithmName="SHA-512" hashValue="F4qwkIB6CRXd2rJFkuE6vBC5gYR2ggUvwzfkQHASd18Dv9Qef9XrsenqQ6nIduyaTBczHk3aQfZvzqWJCMxTtA==" saltValue="V3Cxz1N/OJdG5YJF+QohnQ==" spinCount="100000" sheet="1" objects="1" scenarios="1"/>
  <mergeCells count="1">
    <mergeCell ref="A1:J2"/>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24"/>
  <sheetViews>
    <sheetView showGridLines="0" view="pageBreakPreview" zoomScale="85" zoomScaleNormal="85" zoomScaleSheetLayoutView="85" workbookViewId="0">
      <selection sqref="A1:J1"/>
    </sheetView>
  </sheetViews>
  <sheetFormatPr defaultRowHeight="14.4" x14ac:dyDescent="0.3"/>
  <cols>
    <col min="5" max="5" width="13.33203125" bestFit="1" customWidth="1"/>
    <col min="6" max="6" width="14.33203125" bestFit="1" customWidth="1"/>
    <col min="7" max="8" width="12.5546875" bestFit="1" customWidth="1"/>
    <col min="9" max="10" width="13.6640625" bestFit="1" customWidth="1"/>
  </cols>
  <sheetData>
    <row r="1" spans="1:10" x14ac:dyDescent="0.3">
      <c r="A1" s="81" t="s">
        <v>81</v>
      </c>
      <c r="B1" s="82"/>
      <c r="C1" s="82"/>
      <c r="D1" s="82"/>
      <c r="E1" s="82"/>
      <c r="F1" s="82"/>
      <c r="G1" s="82"/>
      <c r="H1" s="82"/>
      <c r="I1" s="82"/>
      <c r="J1" s="82"/>
    </row>
    <row r="2" spans="1:10" x14ac:dyDescent="0.3">
      <c r="A2" s="21"/>
      <c r="B2" s="21"/>
      <c r="C2" s="21"/>
      <c r="D2" s="21"/>
      <c r="E2" s="21"/>
      <c r="F2" s="21"/>
      <c r="G2" s="21"/>
      <c r="H2" s="21"/>
      <c r="I2" s="21"/>
      <c r="J2" s="21"/>
    </row>
    <row r="3" spans="1:10" x14ac:dyDescent="0.3">
      <c r="A3" s="36" t="s">
        <v>56</v>
      </c>
      <c r="B3" s="36"/>
      <c r="C3" s="36"/>
      <c r="D3" s="36"/>
      <c r="E3" s="36" t="s">
        <v>16</v>
      </c>
      <c r="F3" s="36" t="s">
        <v>17</v>
      </c>
      <c r="G3" s="36" t="s">
        <v>18</v>
      </c>
      <c r="H3" s="36" t="s">
        <v>19</v>
      </c>
      <c r="I3" s="36" t="s">
        <v>20</v>
      </c>
      <c r="J3" s="36" t="s">
        <v>21</v>
      </c>
    </row>
    <row r="4" spans="1:10" x14ac:dyDescent="0.3">
      <c r="A4" s="35"/>
      <c r="B4" s="35"/>
      <c r="C4" s="35"/>
      <c r="D4" s="35"/>
      <c r="E4" s="35"/>
      <c r="F4" s="35"/>
      <c r="G4" s="35"/>
      <c r="H4" s="35"/>
      <c r="I4" s="35"/>
      <c r="J4" s="35"/>
    </row>
    <row r="5" spans="1:10" x14ac:dyDescent="0.3">
      <c r="A5" s="35" t="s">
        <v>82</v>
      </c>
      <c r="B5" s="35"/>
      <c r="C5" s="35"/>
      <c r="D5" s="35"/>
      <c r="E5" s="35"/>
      <c r="F5" s="35"/>
      <c r="G5" s="35"/>
      <c r="H5" s="35"/>
      <c r="I5" s="35"/>
      <c r="J5" s="35"/>
    </row>
    <row r="6" spans="1:10" x14ac:dyDescent="0.3">
      <c r="A6" s="35" t="s">
        <v>50</v>
      </c>
      <c r="B6" s="35"/>
      <c r="C6" s="35"/>
      <c r="D6" s="35"/>
      <c r="E6" s="39">
        <f>'Income Statement'!E35</f>
        <v>161000</v>
      </c>
      <c r="F6" s="39">
        <f>'Income Statement'!F35</f>
        <v>125210.39999999992</v>
      </c>
      <c r="G6" s="39">
        <f>'Income Statement'!G35</f>
        <v>176775.64800000002</v>
      </c>
      <c r="H6" s="39">
        <f>'Income Statement'!H35</f>
        <v>239341.48223999992</v>
      </c>
      <c r="I6" s="39">
        <f>'Income Statement'!I35</f>
        <v>315479.28975359997</v>
      </c>
      <c r="J6" s="39">
        <f>'Income Statement'!J35</f>
        <v>408476.18321663991</v>
      </c>
    </row>
    <row r="7" spans="1:10" x14ac:dyDescent="0.3">
      <c r="A7" s="35" t="s">
        <v>27</v>
      </c>
      <c r="B7" s="35"/>
      <c r="C7" s="35"/>
      <c r="D7" s="35"/>
      <c r="E7" s="40">
        <v>0</v>
      </c>
      <c r="F7" s="39">
        <f>-Schedules!F11</f>
        <v>-3452.0547945205471</v>
      </c>
      <c r="G7" s="39">
        <f>-Schedules!G11</f>
        <v>-3866.3013698630239</v>
      </c>
      <c r="H7" s="39">
        <f>-Schedules!H11</f>
        <v>-4691.1123287671144</v>
      </c>
      <c r="I7" s="39">
        <f>-Schedules!I11</f>
        <v>-5708.722849315076</v>
      </c>
      <c r="J7" s="39">
        <f>-Schedules!J11</f>
        <v>-6972.79719452055</v>
      </c>
    </row>
    <row r="8" spans="1:10" x14ac:dyDescent="0.3">
      <c r="A8" s="35" t="s">
        <v>28</v>
      </c>
      <c r="B8" s="35"/>
      <c r="C8" s="35"/>
      <c r="D8" s="35"/>
      <c r="E8" s="40">
        <v>0</v>
      </c>
      <c r="F8" s="39">
        <f>-Schedules!F12</f>
        <v>-4142.465753424658</v>
      </c>
      <c r="G8" s="39">
        <f>-Schedules!G12</f>
        <v>-4639.5616438356228</v>
      </c>
      <c r="H8" s="39">
        <f>-Schedules!H12</f>
        <v>-5629.334794520546</v>
      </c>
      <c r="I8" s="39">
        <f>-Schedules!I12</f>
        <v>-6850.4674191780941</v>
      </c>
      <c r="J8" s="39">
        <f>-Schedules!J12</f>
        <v>-8367.356633424657</v>
      </c>
    </row>
    <row r="9" spans="1:10" x14ac:dyDescent="0.3">
      <c r="A9" s="35" t="s">
        <v>29</v>
      </c>
      <c r="B9" s="35"/>
      <c r="C9" s="35"/>
      <c r="D9" s="35"/>
      <c r="E9" s="40">
        <v>0</v>
      </c>
      <c r="F9" s="39">
        <f>Schedules!F13</f>
        <v>8284.9315068493161</v>
      </c>
      <c r="G9" s="39">
        <f>Schedules!G13</f>
        <v>9279.1232876712456</v>
      </c>
      <c r="H9" s="39">
        <f>Schedules!H13</f>
        <v>11258.669589041092</v>
      </c>
      <c r="I9" s="39">
        <f>Schedules!I13</f>
        <v>13700.934838356188</v>
      </c>
      <c r="J9" s="39">
        <f>Schedules!J13</f>
        <v>16734.713266849314</v>
      </c>
    </row>
    <row r="10" spans="1:10" x14ac:dyDescent="0.3">
      <c r="A10" s="35" t="s">
        <v>83</v>
      </c>
      <c r="B10" s="35"/>
      <c r="C10" s="35"/>
      <c r="D10" s="35"/>
      <c r="E10" s="40">
        <f t="shared" ref="E10:J10" si="0">SUM(E6:E9)</f>
        <v>161000</v>
      </c>
      <c r="F10" s="40">
        <f t="shared" si="0"/>
        <v>125900.81095890403</v>
      </c>
      <c r="G10" s="40">
        <f t="shared" si="0"/>
        <v>177548.90827397263</v>
      </c>
      <c r="H10" s="40">
        <f t="shared" si="0"/>
        <v>240279.70470575336</v>
      </c>
      <c r="I10" s="40">
        <f t="shared" si="0"/>
        <v>316621.03432346298</v>
      </c>
      <c r="J10" s="40">
        <f t="shared" si="0"/>
        <v>409870.74265554408</v>
      </c>
    </row>
    <row r="11" spans="1:10" x14ac:dyDescent="0.3">
      <c r="A11" s="35"/>
      <c r="B11" s="35"/>
      <c r="C11" s="35"/>
      <c r="D11" s="35"/>
      <c r="E11" s="40"/>
      <c r="F11" s="40"/>
      <c r="G11" s="40"/>
      <c r="H11" s="40"/>
      <c r="I11" s="40"/>
      <c r="J11" s="40"/>
    </row>
    <row r="12" spans="1:10" x14ac:dyDescent="0.3">
      <c r="A12" s="35" t="s">
        <v>84</v>
      </c>
      <c r="B12" s="35"/>
      <c r="C12" s="35"/>
      <c r="D12" s="35"/>
      <c r="E12" s="40"/>
      <c r="F12" s="40"/>
      <c r="G12" s="40"/>
      <c r="H12" s="40"/>
      <c r="I12" s="40"/>
      <c r="J12" s="40"/>
    </row>
    <row r="13" spans="1:10" x14ac:dyDescent="0.3">
      <c r="A13" s="35" t="s">
        <v>85</v>
      </c>
      <c r="B13" s="35"/>
      <c r="C13" s="35"/>
      <c r="D13" s="35"/>
      <c r="E13" s="40">
        <v>0</v>
      </c>
      <c r="F13" s="39">
        <f>-Schedules!F21</f>
        <v>-250000</v>
      </c>
      <c r="G13" s="39">
        <f>-Schedules!G21</f>
        <v>0</v>
      </c>
      <c r="H13" s="39">
        <f>-Schedules!H21</f>
        <v>0</v>
      </c>
      <c r="I13" s="39">
        <f>-Schedules!I21</f>
        <v>0</v>
      </c>
      <c r="J13" s="39">
        <f>-Schedules!J21</f>
        <v>0</v>
      </c>
    </row>
    <row r="14" spans="1:10" x14ac:dyDescent="0.3">
      <c r="A14" s="35" t="s">
        <v>86</v>
      </c>
      <c r="B14" s="35"/>
      <c r="C14" s="35"/>
      <c r="D14" s="35"/>
      <c r="E14" s="40">
        <v>0</v>
      </c>
      <c r="F14" s="40">
        <v>0</v>
      </c>
      <c r="G14" s="40">
        <v>0</v>
      </c>
      <c r="H14" s="40">
        <v>0</v>
      </c>
      <c r="I14" s="40">
        <v>0</v>
      </c>
      <c r="J14" s="40">
        <v>0</v>
      </c>
    </row>
    <row r="15" spans="1:10" x14ac:dyDescent="0.3">
      <c r="A15" s="35" t="s">
        <v>87</v>
      </c>
      <c r="B15" s="35"/>
      <c r="C15" s="35"/>
      <c r="D15" s="35"/>
      <c r="E15" s="40">
        <f t="shared" ref="E15:J15" si="1">SUM(E13:E14)</f>
        <v>0</v>
      </c>
      <c r="F15" s="40">
        <f t="shared" si="1"/>
        <v>-250000</v>
      </c>
      <c r="G15" s="40">
        <f t="shared" si="1"/>
        <v>0</v>
      </c>
      <c r="H15" s="40">
        <f t="shared" si="1"/>
        <v>0</v>
      </c>
      <c r="I15" s="40">
        <f t="shared" si="1"/>
        <v>0</v>
      </c>
      <c r="J15" s="40">
        <f t="shared" si="1"/>
        <v>0</v>
      </c>
    </row>
    <row r="16" spans="1:10" x14ac:dyDescent="0.3">
      <c r="A16" s="35"/>
      <c r="B16" s="35"/>
      <c r="C16" s="35"/>
      <c r="D16" s="35"/>
      <c r="E16" s="40"/>
      <c r="F16" s="40"/>
      <c r="G16" s="40"/>
      <c r="H16" s="40"/>
      <c r="I16" s="40"/>
      <c r="J16" s="40"/>
    </row>
    <row r="17" spans="1:11" x14ac:dyDescent="0.3">
      <c r="A17" s="35" t="s">
        <v>88</v>
      </c>
      <c r="B17" s="35"/>
      <c r="C17" s="35"/>
      <c r="D17" s="35"/>
      <c r="E17" s="40"/>
      <c r="F17" s="40"/>
      <c r="G17" s="40"/>
      <c r="H17" s="40"/>
      <c r="I17" s="40"/>
      <c r="J17" s="40"/>
    </row>
    <row r="18" spans="1:11" x14ac:dyDescent="0.3">
      <c r="A18" s="35" t="s">
        <v>89</v>
      </c>
      <c r="B18" s="35"/>
      <c r="C18" s="35"/>
      <c r="D18" s="35"/>
      <c r="E18" s="40">
        <v>0</v>
      </c>
      <c r="F18" s="40">
        <v>0</v>
      </c>
      <c r="G18" s="40">
        <v>0</v>
      </c>
      <c r="H18" s="40">
        <v>0</v>
      </c>
      <c r="I18" s="40">
        <v>0</v>
      </c>
      <c r="J18" s="40">
        <v>0</v>
      </c>
    </row>
    <row r="19" spans="1:11" x14ac:dyDescent="0.3">
      <c r="A19" s="35" t="s">
        <v>90</v>
      </c>
      <c r="B19" s="35"/>
      <c r="C19" s="35"/>
      <c r="D19" s="35"/>
      <c r="E19" s="40">
        <v>0</v>
      </c>
      <c r="F19" s="40">
        <v>0</v>
      </c>
      <c r="G19" s="40">
        <v>0</v>
      </c>
      <c r="H19" s="40">
        <v>0</v>
      </c>
      <c r="I19" s="40">
        <v>0</v>
      </c>
      <c r="J19" s="40">
        <v>0</v>
      </c>
    </row>
    <row r="20" spans="1:11" x14ac:dyDescent="0.3">
      <c r="A20" s="35" t="s">
        <v>91</v>
      </c>
      <c r="B20" s="35"/>
      <c r="C20" s="35"/>
      <c r="D20" s="35"/>
      <c r="E20" s="40">
        <f t="shared" ref="E20:J20" si="2">SUM(E18:E19)</f>
        <v>0</v>
      </c>
      <c r="F20" s="40">
        <f t="shared" si="2"/>
        <v>0</v>
      </c>
      <c r="G20" s="40">
        <f t="shared" si="2"/>
        <v>0</v>
      </c>
      <c r="H20" s="40">
        <f t="shared" si="2"/>
        <v>0</v>
      </c>
      <c r="I20" s="40">
        <f t="shared" si="2"/>
        <v>0</v>
      </c>
      <c r="J20" s="40">
        <f t="shared" si="2"/>
        <v>0</v>
      </c>
    </row>
    <row r="21" spans="1:11" x14ac:dyDescent="0.3">
      <c r="A21" s="35"/>
      <c r="B21" s="35"/>
      <c r="C21" s="35"/>
      <c r="D21" s="35"/>
      <c r="E21" s="40"/>
      <c r="F21" s="40"/>
      <c r="G21" s="40"/>
      <c r="H21" s="40"/>
      <c r="I21" s="40"/>
      <c r="J21" s="40"/>
    </row>
    <row r="22" spans="1:11" x14ac:dyDescent="0.3">
      <c r="A22" s="35" t="s">
        <v>92</v>
      </c>
      <c r="B22" s="35"/>
      <c r="C22" s="35"/>
      <c r="D22" s="35"/>
      <c r="E22" s="39">
        <f>'Balance Sheet'!E8</f>
        <v>500000</v>
      </c>
      <c r="F22" s="40">
        <f>E24</f>
        <v>500000</v>
      </c>
      <c r="G22" s="40">
        <f>F24</f>
        <v>375900.81095890404</v>
      </c>
      <c r="H22" s="40">
        <f>G24</f>
        <v>553449.71923287667</v>
      </c>
      <c r="I22" s="40">
        <f>H24</f>
        <v>793729.42393863003</v>
      </c>
      <c r="J22" s="40">
        <f>I24</f>
        <v>1110350.4582620929</v>
      </c>
    </row>
    <row r="23" spans="1:11" x14ac:dyDescent="0.3">
      <c r="A23" s="35" t="s">
        <v>93</v>
      </c>
      <c r="B23" s="35"/>
      <c r="C23" s="35"/>
      <c r="D23" s="35"/>
      <c r="E23" s="40">
        <f t="shared" ref="E23:J23" si="3">E10+E15+E20</f>
        <v>161000</v>
      </c>
      <c r="F23" s="40">
        <f t="shared" si="3"/>
        <v>-124099.18904109597</v>
      </c>
      <c r="G23" s="40">
        <f t="shared" si="3"/>
        <v>177548.90827397263</v>
      </c>
      <c r="H23" s="40">
        <f t="shared" si="3"/>
        <v>240279.70470575336</v>
      </c>
      <c r="I23" s="40">
        <f t="shared" si="3"/>
        <v>316621.03432346298</v>
      </c>
      <c r="J23" s="40">
        <f t="shared" si="3"/>
        <v>409870.74265554408</v>
      </c>
      <c r="K23" s="5"/>
    </row>
    <row r="24" spans="1:11" x14ac:dyDescent="0.3">
      <c r="A24" s="35" t="s">
        <v>94</v>
      </c>
      <c r="B24" s="35"/>
      <c r="C24" s="35"/>
      <c r="D24" s="35"/>
      <c r="E24" s="40">
        <v>500000</v>
      </c>
      <c r="F24" s="40">
        <f t="shared" ref="F24:J24" si="4">F22+F23</f>
        <v>375900.81095890404</v>
      </c>
      <c r="G24" s="40">
        <f t="shared" si="4"/>
        <v>553449.71923287667</v>
      </c>
      <c r="H24" s="40">
        <f t="shared" si="4"/>
        <v>793729.42393863003</v>
      </c>
      <c r="I24" s="40">
        <f t="shared" si="4"/>
        <v>1110350.4582620929</v>
      </c>
      <c r="J24" s="40">
        <f t="shared" si="4"/>
        <v>1520221.200917637</v>
      </c>
    </row>
  </sheetData>
  <sheetProtection algorithmName="SHA-512" hashValue="fwvQw0j2Z0p2tZJn7N5XB2RaQuoyWRsZhAqNOngJdPe3lLvoNOG5aQpw2LyF6VdBywxjZM/sjnYZmTlqZkbnoQ==" saltValue="Ywu7SZruG5AT6rhgLaC2bA==" spinCount="100000" sheet="1" objects="1" scenarios="1"/>
  <mergeCells count="1">
    <mergeCell ref="A1:J1"/>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11"/>
  <sheetViews>
    <sheetView showGridLines="0" view="pageBreakPreview" zoomScale="85" zoomScaleNormal="85" zoomScaleSheetLayoutView="85" workbookViewId="0">
      <selection activeCell="Q25" sqref="Q25"/>
    </sheetView>
  </sheetViews>
  <sheetFormatPr defaultRowHeight="14.4" x14ac:dyDescent="0.3"/>
  <cols>
    <col min="1" max="1" width="30.5546875" customWidth="1"/>
    <col min="2" max="7" width="13.6640625" bestFit="1" customWidth="1"/>
  </cols>
  <sheetData>
    <row r="1" spans="1:7" x14ac:dyDescent="0.3">
      <c r="A1" s="85" t="s">
        <v>95</v>
      </c>
      <c r="B1" s="85"/>
      <c r="C1" s="85"/>
      <c r="D1" s="85"/>
      <c r="E1" s="85"/>
      <c r="F1" s="85"/>
      <c r="G1" s="85"/>
    </row>
    <row r="2" spans="1:7" x14ac:dyDescent="0.3">
      <c r="A2" s="85"/>
      <c r="B2" s="85"/>
      <c r="C2" s="85"/>
      <c r="D2" s="85"/>
      <c r="E2" s="85"/>
      <c r="F2" s="85"/>
      <c r="G2" s="85"/>
    </row>
    <row r="3" spans="1:7" x14ac:dyDescent="0.3">
      <c r="A3" s="36" t="s">
        <v>2</v>
      </c>
      <c r="B3" s="36" t="s">
        <v>16</v>
      </c>
      <c r="C3" s="36" t="s">
        <v>17</v>
      </c>
      <c r="D3" s="36" t="s">
        <v>18</v>
      </c>
      <c r="E3" s="36" t="s">
        <v>19</v>
      </c>
      <c r="F3" s="36" t="s">
        <v>20</v>
      </c>
      <c r="G3" s="36" t="s">
        <v>21</v>
      </c>
    </row>
    <row r="4" spans="1:7" x14ac:dyDescent="0.3">
      <c r="A4" s="35" t="s">
        <v>96</v>
      </c>
      <c r="B4" s="39">
        <f>'Income Statement'!E4</f>
        <v>2100000</v>
      </c>
      <c r="C4" s="39">
        <f>'Income Statement'!F4</f>
        <v>2352000</v>
      </c>
      <c r="D4" s="39">
        <f>'Income Statement'!G4</f>
        <v>2634240.0000000005</v>
      </c>
      <c r="E4" s="39">
        <f>'Income Statement'!H4</f>
        <v>2976691.2</v>
      </c>
      <c r="F4" s="39">
        <f>'Income Statement'!I4</f>
        <v>3393427.9680000008</v>
      </c>
      <c r="G4" s="39">
        <f>'Income Statement'!J4</f>
        <v>3902442.1632000008</v>
      </c>
    </row>
    <row r="5" spans="1:7" x14ac:dyDescent="0.3">
      <c r="A5" s="35" t="s">
        <v>97</v>
      </c>
      <c r="B5" s="39">
        <f>'Income Statement'!E7</f>
        <v>840000</v>
      </c>
      <c r="C5" s="39">
        <f>'Income Statement'!F7</f>
        <v>940800</v>
      </c>
      <c r="D5" s="39">
        <f>'Income Statement'!G7</f>
        <v>1053696.0000000002</v>
      </c>
      <c r="E5" s="39">
        <f>'Income Statement'!H7</f>
        <v>1190676.4800000002</v>
      </c>
      <c r="F5" s="39">
        <f>'Income Statement'!I7</f>
        <v>1357371.1872000005</v>
      </c>
      <c r="G5" s="39">
        <f>'Income Statement'!J7</f>
        <v>1560976.8652800005</v>
      </c>
    </row>
    <row r="6" spans="1:7" x14ac:dyDescent="0.3">
      <c r="A6" s="35" t="s">
        <v>98</v>
      </c>
      <c r="B6" s="39">
        <f>'Income Statement'!E16</f>
        <v>550000</v>
      </c>
      <c r="C6" s="39">
        <f>'Income Statement'!F16</f>
        <v>653856.00000000012</v>
      </c>
      <c r="D6" s="39">
        <f>'Income Statement'!G16</f>
        <v>732318.7200000002</v>
      </c>
      <c r="E6" s="39">
        <f>'Income Statement'!H16</f>
        <v>827520.15360000008</v>
      </c>
      <c r="F6" s="39">
        <f>'Income Statement'!I16</f>
        <v>943372.9751040003</v>
      </c>
      <c r="G6" s="39">
        <f>'Income Statement'!J16</f>
        <v>1084878.9213696003</v>
      </c>
    </row>
    <row r="7" spans="1:7" x14ac:dyDescent="0.3">
      <c r="A7" s="35" t="s">
        <v>99</v>
      </c>
      <c r="B7" s="39">
        <f>'Income Statement'!E22</f>
        <v>120000</v>
      </c>
      <c r="C7" s="39">
        <f>'Income Statement'!F22</f>
        <v>143472</v>
      </c>
      <c r="D7" s="39">
        <f>'Income Statement'!G22</f>
        <v>160688.64000000001</v>
      </c>
      <c r="E7" s="39">
        <f>'Income Statement'!H22</f>
        <v>181578.16320000001</v>
      </c>
      <c r="F7" s="39">
        <f>'Income Statement'!I22</f>
        <v>206999.10604800005</v>
      </c>
      <c r="G7" s="39">
        <f>'Income Statement'!J22</f>
        <v>238048.97195520005</v>
      </c>
    </row>
    <row r="8" spans="1:7" x14ac:dyDescent="0.3">
      <c r="A8" s="35" t="s">
        <v>100</v>
      </c>
      <c r="B8" s="39">
        <f>'Income Statement'!E13</f>
        <v>290000</v>
      </c>
      <c r="C8" s="39">
        <f>'Income Statement'!F13</f>
        <v>350000</v>
      </c>
      <c r="D8" s="39">
        <f>'Income Statement'!G13</f>
        <v>350000</v>
      </c>
      <c r="E8" s="39">
        <f>'Income Statement'!H13</f>
        <v>350000</v>
      </c>
      <c r="F8" s="39">
        <f>'Income Statement'!I13</f>
        <v>350000</v>
      </c>
      <c r="G8" s="39">
        <f>'Income Statement'!J13</f>
        <v>350000</v>
      </c>
    </row>
    <row r="9" spans="1:7" x14ac:dyDescent="0.3">
      <c r="A9" s="35" t="s">
        <v>101</v>
      </c>
      <c r="B9" s="39">
        <f>'Income Statement'!E19</f>
        <v>70000</v>
      </c>
      <c r="C9" s="39">
        <f>'Income Statement'!F19</f>
        <v>85000</v>
      </c>
      <c r="D9" s="39">
        <f>'Income Statement'!G19</f>
        <v>85000</v>
      </c>
      <c r="E9" s="39">
        <f>'Income Statement'!H19</f>
        <v>85000</v>
      </c>
      <c r="F9" s="39">
        <f>'Income Statement'!I19</f>
        <v>85000</v>
      </c>
      <c r="G9" s="39">
        <f>'Income Statement'!J19</f>
        <v>85000</v>
      </c>
    </row>
    <row r="10" spans="1:7" x14ac:dyDescent="0.3">
      <c r="A10" s="35" t="s">
        <v>102</v>
      </c>
      <c r="B10" s="41">
        <f t="shared" ref="B10:G10" si="0">(B5+B6+B7)/B4</f>
        <v>0.71904761904761905</v>
      </c>
      <c r="C10" s="41">
        <f t="shared" si="0"/>
        <v>0.73899999999999999</v>
      </c>
      <c r="D10" s="41">
        <f t="shared" si="0"/>
        <v>0.73899999999999999</v>
      </c>
      <c r="E10" s="41">
        <f t="shared" si="0"/>
        <v>0.73899999999999999</v>
      </c>
      <c r="F10" s="41">
        <f t="shared" si="0"/>
        <v>0.7390000000000001</v>
      </c>
      <c r="G10" s="41">
        <f t="shared" si="0"/>
        <v>0.7390000000000001</v>
      </c>
    </row>
    <row r="11" spans="1:7" x14ac:dyDescent="0.3">
      <c r="A11" s="35" t="s">
        <v>103</v>
      </c>
      <c r="B11" s="40">
        <f t="shared" ref="B11:G11" si="1">(B8+B9)/(1-B10)</f>
        <v>1281355.9322033899</v>
      </c>
      <c r="C11" s="40">
        <f t="shared" si="1"/>
        <v>1666666.6666666665</v>
      </c>
      <c r="D11" s="40">
        <f t="shared" si="1"/>
        <v>1666666.6666666665</v>
      </c>
      <c r="E11" s="40">
        <f t="shared" si="1"/>
        <v>1666666.6666666665</v>
      </c>
      <c r="F11" s="40">
        <f t="shared" si="1"/>
        <v>1666666.6666666672</v>
      </c>
      <c r="G11" s="40">
        <f t="shared" si="1"/>
        <v>1666666.6666666672</v>
      </c>
    </row>
  </sheetData>
  <sheetProtection algorithmName="SHA-512" hashValue="zq3d3cFYIzPahkyg/9FqszjMIUTyy9E4y1CrV6jLpv1XQ+LZUdzl0CmSJfV90RHxbABsWxqHk8bx5kIOssYrUA==" saltValue="CIGZVU4wmVzWyBHGFKnGFg==" spinCount="100000" sheet="1" objects="1" scenarios="1"/>
  <mergeCells count="1">
    <mergeCell ref="A1:G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Profile</vt:lpstr>
      <vt:lpstr>Dashboard</vt:lpstr>
      <vt:lpstr>Scenario</vt:lpstr>
      <vt:lpstr>Assumptions</vt:lpstr>
      <vt:lpstr>Schedules</vt:lpstr>
      <vt:lpstr>Income Statement</vt:lpstr>
      <vt:lpstr>Sensitivity Analysis</vt:lpstr>
      <vt:lpstr>Balance Sheet</vt:lpstr>
      <vt:lpstr>Cash Flow</vt:lpstr>
      <vt:lpstr>Break Even Analysis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Pratyush Prasad</dc:creator>
  <cp:lastModifiedBy>Pratyush Prasad</cp:lastModifiedBy>
  <dcterms:created xsi:type="dcterms:W3CDTF">2025-12-24T17:58:34Z</dcterms:created>
  <dcterms:modified xsi:type="dcterms:W3CDTF">2026-02-18T08:01:56Z</dcterms:modified>
</cp:coreProperties>
</file>